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.asghar\Desktop\Desktop Data\DeskTop 2026\Web Updates\"/>
    </mc:Choice>
  </mc:AlternateContent>
  <xr:revisionPtr revIDLastSave="0" documentId="10_ncr:0_{0C8AD92F-0931-407E-A01A-4A7C7586F1F4}" xr6:coauthVersionLast="36" xr6:coauthVersionMax="36" xr10:uidLastSave="{00000000-0000-0000-0000-000000000000}"/>
  <bookViews>
    <workbookView xWindow="0" yWindow="0" windowWidth="23040" windowHeight="8940" xr2:uid="{24169703-EFAA-486B-87FC-4EFF801F1634}"/>
  </bookViews>
  <sheets>
    <sheet name="Master Data Entry" sheetId="1" r:id="rId1"/>
  </sheets>
  <definedNames>
    <definedName name="_xlnm.Print_Area" localSheetId="0">'Master Data Entry'!$B$5:$T$804</definedName>
    <definedName name="_xlnm.Print_Titles" localSheetId="0">'Master Data Entry'!$1:$4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815" i="1" l="1"/>
  <c r="O815" i="1"/>
  <c r="M815" i="1"/>
  <c r="L815" i="1"/>
  <c r="J815" i="1"/>
  <c r="I815" i="1"/>
  <c r="F815" i="1"/>
  <c r="R813" i="1"/>
  <c r="N813" i="1"/>
  <c r="H813" i="1"/>
  <c r="R812" i="1"/>
  <c r="N812" i="1"/>
  <c r="H812" i="1"/>
  <c r="R811" i="1"/>
  <c r="N811" i="1"/>
  <c r="H811" i="1"/>
  <c r="R810" i="1"/>
  <c r="N810" i="1"/>
  <c r="H810" i="1"/>
  <c r="R809" i="1"/>
  <c r="N809" i="1"/>
  <c r="H809" i="1"/>
  <c r="B809" i="1"/>
  <c r="R808" i="1"/>
  <c r="N808" i="1"/>
  <c r="K808" i="1"/>
  <c r="K815" i="1" s="1"/>
  <c r="H808" i="1"/>
  <c r="T803" i="1"/>
  <c r="O803" i="1"/>
  <c r="M803" i="1"/>
  <c r="L803" i="1"/>
  <c r="K803" i="1"/>
  <c r="I803" i="1"/>
  <c r="F803" i="1"/>
  <c r="P801" i="1"/>
  <c r="N801" i="1"/>
  <c r="H801" i="1"/>
  <c r="R800" i="1"/>
  <c r="N800" i="1"/>
  <c r="H800" i="1"/>
  <c r="R799" i="1"/>
  <c r="N799" i="1"/>
  <c r="H799" i="1"/>
  <c r="B799" i="1"/>
  <c r="B800" i="1" s="1"/>
  <c r="B801" i="1" s="1"/>
  <c r="R798" i="1"/>
  <c r="N798" i="1"/>
  <c r="H798" i="1"/>
  <c r="P795" i="1"/>
  <c r="N795" i="1"/>
  <c r="H795" i="1"/>
  <c r="R794" i="1"/>
  <c r="N794" i="1"/>
  <c r="H794" i="1"/>
  <c r="R793" i="1"/>
  <c r="N793" i="1"/>
  <c r="H793" i="1"/>
  <c r="R792" i="1"/>
  <c r="N792" i="1"/>
  <c r="H792" i="1"/>
  <c r="R791" i="1"/>
  <c r="N791" i="1"/>
  <c r="H791" i="1"/>
  <c r="R790" i="1"/>
  <c r="N790" i="1"/>
  <c r="H790" i="1"/>
  <c r="R789" i="1"/>
  <c r="N789" i="1"/>
  <c r="H789" i="1"/>
  <c r="R788" i="1"/>
  <c r="N788" i="1"/>
  <c r="H788" i="1"/>
  <c r="R787" i="1"/>
  <c r="N787" i="1"/>
  <c r="J787" i="1"/>
  <c r="H787" i="1"/>
  <c r="R786" i="1"/>
  <c r="N786" i="1"/>
  <c r="H786" i="1"/>
  <c r="R785" i="1"/>
  <c r="N785" i="1"/>
  <c r="H785" i="1"/>
  <c r="R784" i="1"/>
  <c r="N784" i="1"/>
  <c r="H784" i="1"/>
  <c r="R783" i="1"/>
  <c r="N783" i="1"/>
  <c r="H783" i="1"/>
  <c r="R782" i="1"/>
  <c r="N782" i="1"/>
  <c r="H782" i="1"/>
  <c r="B782" i="1"/>
  <c r="R781" i="1"/>
  <c r="N781" i="1"/>
  <c r="H781" i="1"/>
  <c r="T776" i="1"/>
  <c r="O776" i="1"/>
  <c r="M776" i="1"/>
  <c r="L776" i="1"/>
  <c r="K776" i="1"/>
  <c r="J776" i="1"/>
  <c r="I776" i="1"/>
  <c r="F776" i="1"/>
  <c r="R774" i="1"/>
  <c r="N774" i="1"/>
  <c r="H774" i="1"/>
  <c r="P771" i="1"/>
  <c r="N771" i="1"/>
  <c r="H771" i="1"/>
  <c r="R770" i="1"/>
  <c r="N770" i="1"/>
  <c r="H770" i="1"/>
  <c r="R769" i="1"/>
  <c r="N769" i="1"/>
  <c r="H769" i="1"/>
  <c r="P768" i="1"/>
  <c r="N768" i="1"/>
  <c r="H768" i="1"/>
  <c r="R767" i="1"/>
  <c r="N767" i="1"/>
  <c r="H767" i="1"/>
  <c r="R766" i="1"/>
  <c r="N766" i="1"/>
  <c r="H766" i="1"/>
  <c r="R765" i="1"/>
  <c r="N765" i="1"/>
  <c r="H765" i="1"/>
  <c r="B765" i="1"/>
  <c r="R764" i="1"/>
  <c r="N764" i="1"/>
  <c r="H764" i="1"/>
  <c r="T759" i="1"/>
  <c r="O759" i="1"/>
  <c r="M759" i="1"/>
  <c r="L759" i="1"/>
  <c r="K759" i="1"/>
  <c r="I759" i="1"/>
  <c r="F759" i="1"/>
  <c r="R757" i="1"/>
  <c r="N757" i="1"/>
  <c r="H757" i="1"/>
  <c r="B757" i="1"/>
  <c r="R756" i="1"/>
  <c r="N756" i="1"/>
  <c r="H756" i="1"/>
  <c r="R753" i="1"/>
  <c r="N753" i="1"/>
  <c r="H753" i="1"/>
  <c r="R752" i="1"/>
  <c r="N752" i="1"/>
  <c r="H752" i="1"/>
  <c r="P751" i="1"/>
  <c r="N751" i="1"/>
  <c r="H751" i="1"/>
  <c r="R750" i="1"/>
  <c r="N750" i="1"/>
  <c r="J750" i="1"/>
  <c r="J759" i="1" s="1"/>
  <c r="H750" i="1"/>
  <c r="R749" i="1"/>
  <c r="N749" i="1"/>
  <c r="H749" i="1"/>
  <c r="R748" i="1"/>
  <c r="N748" i="1"/>
  <c r="H748" i="1"/>
  <c r="R747" i="1"/>
  <c r="N747" i="1"/>
  <c r="H747" i="1"/>
  <c r="P746" i="1"/>
  <c r="N746" i="1"/>
  <c r="H746" i="1"/>
  <c r="R745" i="1"/>
  <c r="N745" i="1"/>
  <c r="H745" i="1"/>
  <c r="R744" i="1"/>
  <c r="N744" i="1"/>
  <c r="H744" i="1"/>
  <c r="P743" i="1"/>
  <c r="N743" i="1"/>
  <c r="H743" i="1"/>
  <c r="P742" i="1"/>
  <c r="R742" i="1" s="1"/>
  <c r="N742" i="1"/>
  <c r="H742" i="1"/>
  <c r="P741" i="1"/>
  <c r="N741" i="1"/>
  <c r="H741" i="1"/>
  <c r="R740" i="1"/>
  <c r="N740" i="1"/>
  <c r="H740" i="1"/>
  <c r="R739" i="1"/>
  <c r="N739" i="1"/>
  <c r="H739" i="1"/>
  <c r="R738" i="1"/>
  <c r="N738" i="1"/>
  <c r="H738" i="1"/>
  <c r="R737" i="1"/>
  <c r="N737" i="1"/>
  <c r="H737" i="1"/>
  <c r="R736" i="1"/>
  <c r="N736" i="1"/>
  <c r="H736" i="1"/>
  <c r="R735" i="1"/>
  <c r="N735" i="1"/>
  <c r="H735" i="1"/>
  <c r="R734" i="1"/>
  <c r="N734" i="1"/>
  <c r="H734" i="1"/>
  <c r="P733" i="1"/>
  <c r="R733" i="1" s="1"/>
  <c r="N733" i="1"/>
  <c r="H733" i="1"/>
  <c r="Q732" i="1"/>
  <c r="N732" i="1"/>
  <c r="H732" i="1"/>
  <c r="R731" i="1"/>
  <c r="N731" i="1"/>
  <c r="H731" i="1"/>
  <c r="R730" i="1"/>
  <c r="N730" i="1"/>
  <c r="H730" i="1"/>
  <c r="B730" i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R729" i="1"/>
  <c r="N729" i="1"/>
  <c r="H729" i="1"/>
  <c r="T724" i="1"/>
  <c r="O724" i="1"/>
  <c r="M724" i="1"/>
  <c r="L724" i="1"/>
  <c r="K724" i="1"/>
  <c r="J724" i="1"/>
  <c r="I724" i="1"/>
  <c r="F724" i="1"/>
  <c r="R722" i="1"/>
  <c r="N722" i="1"/>
  <c r="H722" i="1"/>
  <c r="R719" i="1"/>
  <c r="N719" i="1"/>
  <c r="H719" i="1"/>
  <c r="R718" i="1"/>
  <c r="N718" i="1"/>
  <c r="H718" i="1"/>
  <c r="R717" i="1"/>
  <c r="N717" i="1"/>
  <c r="H717" i="1"/>
  <c r="R716" i="1"/>
  <c r="N716" i="1"/>
  <c r="H716" i="1"/>
  <c r="B716" i="1"/>
  <c r="B717" i="1" s="1"/>
  <c r="B718" i="1" s="1"/>
  <c r="B719" i="1" s="1"/>
  <c r="R715" i="1"/>
  <c r="N715" i="1"/>
  <c r="H715" i="1"/>
  <c r="T710" i="1"/>
  <c r="O710" i="1"/>
  <c r="M710" i="1"/>
  <c r="L710" i="1"/>
  <c r="K710" i="1"/>
  <c r="J710" i="1"/>
  <c r="I710" i="1"/>
  <c r="F710" i="1"/>
  <c r="R708" i="1"/>
  <c r="N708" i="1"/>
  <c r="H708" i="1"/>
  <c r="R705" i="1"/>
  <c r="N705" i="1"/>
  <c r="H705" i="1"/>
  <c r="B705" i="1"/>
  <c r="B710" i="1" s="1"/>
  <c r="R704" i="1"/>
  <c r="N704" i="1"/>
  <c r="H704" i="1"/>
  <c r="T699" i="1"/>
  <c r="O699" i="1"/>
  <c r="M699" i="1"/>
  <c r="L699" i="1"/>
  <c r="K699" i="1"/>
  <c r="J699" i="1"/>
  <c r="I699" i="1"/>
  <c r="F699" i="1"/>
  <c r="R697" i="1"/>
  <c r="N697" i="1"/>
  <c r="H697" i="1"/>
  <c r="B697" i="1"/>
  <c r="R696" i="1"/>
  <c r="N696" i="1"/>
  <c r="H696" i="1"/>
  <c r="P693" i="1"/>
  <c r="N693" i="1"/>
  <c r="H693" i="1"/>
  <c r="P692" i="1"/>
  <c r="R692" i="1" s="1"/>
  <c r="N692" i="1"/>
  <c r="H692" i="1"/>
  <c r="R691" i="1"/>
  <c r="N691" i="1"/>
  <c r="H691" i="1"/>
  <c r="R690" i="1"/>
  <c r="N690" i="1"/>
  <c r="H690" i="1"/>
  <c r="R689" i="1"/>
  <c r="N689" i="1"/>
  <c r="H689" i="1"/>
  <c r="R688" i="1"/>
  <c r="N688" i="1"/>
  <c r="H688" i="1"/>
  <c r="R687" i="1"/>
  <c r="N687" i="1"/>
  <c r="H687" i="1"/>
  <c r="R686" i="1"/>
  <c r="N686" i="1"/>
  <c r="H686" i="1"/>
  <c r="P685" i="1"/>
  <c r="N685" i="1"/>
  <c r="H685" i="1"/>
  <c r="B685" i="1"/>
  <c r="R684" i="1"/>
  <c r="N684" i="1"/>
  <c r="H684" i="1"/>
  <c r="R677" i="1"/>
  <c r="N677" i="1"/>
  <c r="H677" i="1"/>
  <c r="R676" i="1"/>
  <c r="N676" i="1"/>
  <c r="H676" i="1"/>
  <c r="B676" i="1"/>
  <c r="B677" i="1" s="1"/>
  <c r="R675" i="1"/>
  <c r="N675" i="1"/>
  <c r="H675" i="1"/>
  <c r="R672" i="1"/>
  <c r="N672" i="1"/>
  <c r="H672" i="1"/>
  <c r="R671" i="1"/>
  <c r="N671" i="1"/>
  <c r="H671" i="1"/>
  <c r="R670" i="1"/>
  <c r="N670" i="1"/>
  <c r="H670" i="1"/>
  <c r="R669" i="1"/>
  <c r="N669" i="1"/>
  <c r="H669" i="1"/>
  <c r="R668" i="1"/>
  <c r="N668" i="1"/>
  <c r="H668" i="1"/>
  <c r="P667" i="1"/>
  <c r="N667" i="1"/>
  <c r="H667" i="1"/>
  <c r="R666" i="1"/>
  <c r="N666" i="1"/>
  <c r="H666" i="1"/>
  <c r="P665" i="1"/>
  <c r="R665" i="1" s="1"/>
  <c r="N665" i="1"/>
  <c r="H665" i="1"/>
  <c r="P664" i="1"/>
  <c r="N664" i="1"/>
  <c r="H664" i="1"/>
  <c r="P663" i="1"/>
  <c r="N663" i="1"/>
  <c r="H663" i="1"/>
  <c r="R662" i="1"/>
  <c r="N662" i="1"/>
  <c r="H662" i="1"/>
  <c r="R661" i="1"/>
  <c r="N661" i="1"/>
  <c r="H661" i="1"/>
  <c r="P660" i="1"/>
  <c r="N660" i="1"/>
  <c r="H660" i="1"/>
  <c r="R659" i="1"/>
  <c r="N659" i="1"/>
  <c r="H659" i="1"/>
  <c r="R658" i="1"/>
  <c r="N658" i="1"/>
  <c r="H658" i="1"/>
  <c r="P657" i="1"/>
  <c r="R657" i="1" s="1"/>
  <c r="N657" i="1"/>
  <c r="H657" i="1"/>
  <c r="P656" i="1"/>
  <c r="N656" i="1"/>
  <c r="H656" i="1"/>
  <c r="R655" i="1"/>
  <c r="N655" i="1"/>
  <c r="H655" i="1"/>
  <c r="R654" i="1"/>
  <c r="N654" i="1"/>
  <c r="H654" i="1"/>
  <c r="P653" i="1"/>
  <c r="N653" i="1"/>
  <c r="J653" i="1"/>
  <c r="H653" i="1"/>
  <c r="R652" i="1"/>
  <c r="N652" i="1"/>
  <c r="H652" i="1"/>
  <c r="R651" i="1"/>
  <c r="N651" i="1"/>
  <c r="H651" i="1"/>
  <c r="B651" i="1"/>
  <c r="B652" i="1" s="1"/>
  <c r="B653" i="1" s="1"/>
  <c r="B654" i="1" s="1"/>
  <c r="B655" i="1" s="1"/>
  <c r="B656" i="1" s="1"/>
  <c r="B657" i="1" s="1"/>
  <c r="B658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B672" i="1" s="1"/>
  <c r="P650" i="1"/>
  <c r="N650" i="1"/>
  <c r="H650" i="1"/>
  <c r="T645" i="1"/>
  <c r="O645" i="1"/>
  <c r="M645" i="1"/>
  <c r="L645" i="1"/>
  <c r="K645" i="1"/>
  <c r="J645" i="1"/>
  <c r="I645" i="1"/>
  <c r="F645" i="1"/>
  <c r="R643" i="1"/>
  <c r="N643" i="1"/>
  <c r="H643" i="1"/>
  <c r="R642" i="1"/>
  <c r="N642" i="1"/>
  <c r="H642" i="1"/>
  <c r="P641" i="1"/>
  <c r="R641" i="1" s="1"/>
  <c r="N641" i="1"/>
  <c r="H641" i="1"/>
  <c r="R640" i="1"/>
  <c r="N640" i="1"/>
  <c r="H640" i="1"/>
  <c r="R639" i="1"/>
  <c r="N639" i="1"/>
  <c r="H639" i="1"/>
  <c r="P638" i="1"/>
  <c r="N638" i="1"/>
  <c r="H638" i="1"/>
  <c r="R637" i="1"/>
  <c r="N637" i="1"/>
  <c r="H637" i="1"/>
  <c r="P636" i="1"/>
  <c r="N636" i="1"/>
  <c r="H636" i="1"/>
  <c r="P635" i="1"/>
  <c r="N635" i="1"/>
  <c r="H635" i="1"/>
  <c r="R634" i="1"/>
  <c r="N634" i="1"/>
  <c r="H634" i="1"/>
  <c r="R633" i="1"/>
  <c r="N633" i="1"/>
  <c r="H633" i="1"/>
  <c r="R632" i="1"/>
  <c r="N632" i="1"/>
  <c r="H632" i="1"/>
  <c r="P631" i="1"/>
  <c r="N631" i="1"/>
  <c r="H631" i="1"/>
  <c r="B631" i="1"/>
  <c r="B632" i="1" s="1"/>
  <c r="B633" i="1" s="1"/>
  <c r="B634" i="1" s="1"/>
  <c r="B635" i="1" s="1"/>
  <c r="R630" i="1"/>
  <c r="N630" i="1"/>
  <c r="H630" i="1"/>
  <c r="T625" i="1"/>
  <c r="O625" i="1"/>
  <c r="M625" i="1"/>
  <c r="L625" i="1"/>
  <c r="L679" i="1" s="1"/>
  <c r="K625" i="1"/>
  <c r="J625" i="1"/>
  <c r="I625" i="1"/>
  <c r="F625" i="1"/>
  <c r="P623" i="1"/>
  <c r="N623" i="1"/>
  <c r="H623" i="1"/>
  <c r="P622" i="1"/>
  <c r="N622" i="1"/>
  <c r="H622" i="1"/>
  <c r="P621" i="1"/>
  <c r="N621" i="1"/>
  <c r="H621" i="1"/>
  <c r="R620" i="1"/>
  <c r="N620" i="1"/>
  <c r="H620" i="1"/>
  <c r="B620" i="1"/>
  <c r="B621" i="1" s="1"/>
  <c r="B622" i="1" s="1"/>
  <c r="R619" i="1"/>
  <c r="N619" i="1"/>
  <c r="H619" i="1"/>
  <c r="T614" i="1"/>
  <c r="O614" i="1"/>
  <c r="M614" i="1"/>
  <c r="L614" i="1"/>
  <c r="K614" i="1"/>
  <c r="J614" i="1"/>
  <c r="I614" i="1"/>
  <c r="F614" i="1"/>
  <c r="R612" i="1"/>
  <c r="N612" i="1"/>
  <c r="H612" i="1"/>
  <c r="R609" i="1"/>
  <c r="N609" i="1"/>
  <c r="H609" i="1"/>
  <c r="R608" i="1"/>
  <c r="N608" i="1"/>
  <c r="H608" i="1"/>
  <c r="R607" i="1"/>
  <c r="N607" i="1"/>
  <c r="H607" i="1"/>
  <c r="R606" i="1"/>
  <c r="N606" i="1"/>
  <c r="H606" i="1"/>
  <c r="R605" i="1"/>
  <c r="N605" i="1"/>
  <c r="H605" i="1"/>
  <c r="R604" i="1"/>
  <c r="N604" i="1"/>
  <c r="H604" i="1"/>
  <c r="R603" i="1"/>
  <c r="N603" i="1"/>
  <c r="H603" i="1"/>
  <c r="R602" i="1"/>
  <c r="N602" i="1"/>
  <c r="H602" i="1"/>
  <c r="R601" i="1"/>
  <c r="N601" i="1"/>
  <c r="H601" i="1"/>
  <c r="R600" i="1"/>
  <c r="N600" i="1"/>
  <c r="H600" i="1"/>
  <c r="R599" i="1"/>
  <c r="N599" i="1"/>
  <c r="H599" i="1"/>
  <c r="R598" i="1"/>
  <c r="N598" i="1"/>
  <c r="H598" i="1"/>
  <c r="R597" i="1"/>
  <c r="N597" i="1"/>
  <c r="H597" i="1"/>
  <c r="R596" i="1"/>
  <c r="N596" i="1"/>
  <c r="H596" i="1"/>
  <c r="P595" i="1"/>
  <c r="N595" i="1"/>
  <c r="H595" i="1"/>
  <c r="B595" i="1"/>
  <c r="R594" i="1"/>
  <c r="N594" i="1"/>
  <c r="H594" i="1"/>
  <c r="T589" i="1"/>
  <c r="O589" i="1"/>
  <c r="M589" i="1"/>
  <c r="L589" i="1"/>
  <c r="K589" i="1"/>
  <c r="J589" i="1"/>
  <c r="I589" i="1"/>
  <c r="F589" i="1"/>
  <c r="R587" i="1"/>
  <c r="N587" i="1"/>
  <c r="H587" i="1"/>
  <c r="P586" i="1"/>
  <c r="N586" i="1"/>
  <c r="H586" i="1"/>
  <c r="R585" i="1"/>
  <c r="N585" i="1"/>
  <c r="H585" i="1"/>
  <c r="R584" i="1"/>
  <c r="N584" i="1"/>
  <c r="H584" i="1"/>
  <c r="R583" i="1"/>
  <c r="N583" i="1"/>
  <c r="H583" i="1"/>
  <c r="B583" i="1"/>
  <c r="R582" i="1"/>
  <c r="N582" i="1"/>
  <c r="H582" i="1"/>
  <c r="T577" i="1"/>
  <c r="O577" i="1"/>
  <c r="L577" i="1"/>
  <c r="K577" i="1"/>
  <c r="J577" i="1"/>
  <c r="I577" i="1"/>
  <c r="F577" i="1"/>
  <c r="R575" i="1"/>
  <c r="N575" i="1"/>
  <c r="H575" i="1"/>
  <c r="R574" i="1"/>
  <c r="N574" i="1"/>
  <c r="H574" i="1"/>
  <c r="R573" i="1"/>
  <c r="M573" i="1"/>
  <c r="M577" i="1" s="1"/>
  <c r="H573" i="1"/>
  <c r="R572" i="1"/>
  <c r="N572" i="1"/>
  <c r="H572" i="1"/>
  <c r="R571" i="1"/>
  <c r="N571" i="1"/>
  <c r="H571" i="1"/>
  <c r="R570" i="1"/>
  <c r="N570" i="1"/>
  <c r="H570" i="1"/>
  <c r="B570" i="1"/>
  <c r="B571" i="1" s="1"/>
  <c r="R569" i="1"/>
  <c r="N569" i="1"/>
  <c r="H569" i="1"/>
  <c r="T564" i="1"/>
  <c r="O564" i="1"/>
  <c r="M564" i="1"/>
  <c r="L564" i="1"/>
  <c r="K564" i="1"/>
  <c r="J564" i="1"/>
  <c r="I564" i="1"/>
  <c r="F564" i="1"/>
  <c r="R562" i="1"/>
  <c r="N562" i="1"/>
  <c r="H562" i="1"/>
  <c r="B562" i="1"/>
  <c r="R561" i="1"/>
  <c r="N561" i="1"/>
  <c r="H561" i="1"/>
  <c r="P558" i="1"/>
  <c r="N558" i="1"/>
  <c r="H558" i="1"/>
  <c r="R557" i="1"/>
  <c r="N557" i="1"/>
  <c r="H557" i="1"/>
  <c r="R556" i="1"/>
  <c r="N556" i="1"/>
  <c r="H556" i="1"/>
  <c r="R555" i="1"/>
  <c r="N555" i="1"/>
  <c r="H555" i="1"/>
  <c r="R554" i="1"/>
  <c r="N554" i="1"/>
  <c r="H554" i="1"/>
  <c r="P553" i="1"/>
  <c r="R553" i="1" s="1"/>
  <c r="N553" i="1"/>
  <c r="H553" i="1"/>
  <c r="P552" i="1"/>
  <c r="N552" i="1"/>
  <c r="H552" i="1"/>
  <c r="B552" i="1"/>
  <c r="B553" i="1" s="1"/>
  <c r="B554" i="1" s="1"/>
  <c r="B555" i="1" s="1"/>
  <c r="B556" i="1" s="1"/>
  <c r="B557" i="1" s="1"/>
  <c r="B558" i="1" s="1"/>
  <c r="R551" i="1"/>
  <c r="N551" i="1"/>
  <c r="H551" i="1"/>
  <c r="B551" i="1"/>
  <c r="R550" i="1"/>
  <c r="N550" i="1"/>
  <c r="H550" i="1"/>
  <c r="T545" i="1"/>
  <c r="O545" i="1"/>
  <c r="M545" i="1"/>
  <c r="L545" i="1"/>
  <c r="K545" i="1"/>
  <c r="J545" i="1"/>
  <c r="I545" i="1"/>
  <c r="F545" i="1"/>
  <c r="R543" i="1"/>
  <c r="N543" i="1"/>
  <c r="H543" i="1"/>
  <c r="P540" i="1"/>
  <c r="N540" i="1"/>
  <c r="H540" i="1"/>
  <c r="P539" i="1"/>
  <c r="N539" i="1"/>
  <c r="H539" i="1"/>
  <c r="P538" i="1"/>
  <c r="N538" i="1"/>
  <c r="H538" i="1"/>
  <c r="R537" i="1"/>
  <c r="N537" i="1"/>
  <c r="H537" i="1"/>
  <c r="R536" i="1"/>
  <c r="N536" i="1"/>
  <c r="H536" i="1"/>
  <c r="R535" i="1"/>
  <c r="N535" i="1"/>
  <c r="H535" i="1"/>
  <c r="R534" i="1"/>
  <c r="N534" i="1"/>
  <c r="H534" i="1"/>
  <c r="P533" i="1"/>
  <c r="R533" i="1" s="1"/>
  <c r="N533" i="1"/>
  <c r="H533" i="1"/>
  <c r="B533" i="1"/>
  <c r="R532" i="1"/>
  <c r="N532" i="1"/>
  <c r="H532" i="1"/>
  <c r="T527" i="1"/>
  <c r="O527" i="1"/>
  <c r="L527" i="1"/>
  <c r="K527" i="1"/>
  <c r="J527" i="1"/>
  <c r="I527" i="1"/>
  <c r="F527" i="1"/>
  <c r="R525" i="1"/>
  <c r="N525" i="1"/>
  <c r="H525" i="1"/>
  <c r="R524" i="1"/>
  <c r="N524" i="1"/>
  <c r="H524" i="1"/>
  <c r="B524" i="1"/>
  <c r="B525" i="1" s="1"/>
  <c r="R523" i="1"/>
  <c r="N523" i="1"/>
  <c r="H523" i="1"/>
  <c r="R520" i="1"/>
  <c r="N520" i="1"/>
  <c r="H520" i="1"/>
  <c r="R519" i="1"/>
  <c r="N519" i="1"/>
  <c r="H519" i="1"/>
  <c r="R518" i="1"/>
  <c r="N518" i="1"/>
  <c r="H518" i="1"/>
  <c r="R517" i="1"/>
  <c r="N517" i="1"/>
  <c r="H517" i="1"/>
  <c r="R516" i="1"/>
  <c r="N516" i="1"/>
  <c r="H516" i="1"/>
  <c r="R515" i="1"/>
  <c r="N515" i="1"/>
  <c r="H515" i="1"/>
  <c r="R514" i="1"/>
  <c r="N514" i="1"/>
  <c r="H514" i="1"/>
  <c r="R513" i="1"/>
  <c r="N513" i="1"/>
  <c r="H513" i="1"/>
  <c r="P512" i="1"/>
  <c r="R512" i="1" s="1"/>
  <c r="M512" i="1"/>
  <c r="N512" i="1" s="1"/>
  <c r="H512" i="1"/>
  <c r="R511" i="1"/>
  <c r="N511" i="1"/>
  <c r="H511" i="1"/>
  <c r="R510" i="1"/>
  <c r="N510" i="1"/>
  <c r="H510" i="1"/>
  <c r="R509" i="1"/>
  <c r="N509" i="1"/>
  <c r="H509" i="1"/>
  <c r="R508" i="1"/>
  <c r="N508" i="1"/>
  <c r="H508" i="1"/>
  <c r="B508" i="1"/>
  <c r="R507" i="1"/>
  <c r="N507" i="1"/>
  <c r="H507" i="1"/>
  <c r="T503" i="1"/>
  <c r="O503" i="1"/>
  <c r="M503" i="1"/>
  <c r="L503" i="1"/>
  <c r="K503" i="1"/>
  <c r="J503" i="1"/>
  <c r="I503" i="1"/>
  <c r="F503" i="1"/>
  <c r="P501" i="1"/>
  <c r="R501" i="1" s="1"/>
  <c r="N501" i="1"/>
  <c r="H501" i="1"/>
  <c r="P500" i="1"/>
  <c r="N500" i="1"/>
  <c r="H500" i="1"/>
  <c r="B500" i="1"/>
  <c r="P499" i="1"/>
  <c r="R499" i="1" s="1"/>
  <c r="N499" i="1"/>
  <c r="H499" i="1"/>
  <c r="B499" i="1"/>
  <c r="R498" i="1"/>
  <c r="N498" i="1"/>
  <c r="H498" i="1"/>
  <c r="T493" i="1"/>
  <c r="O493" i="1"/>
  <c r="M493" i="1"/>
  <c r="L493" i="1"/>
  <c r="K493" i="1"/>
  <c r="J493" i="1"/>
  <c r="I493" i="1"/>
  <c r="F493" i="1"/>
  <c r="R491" i="1"/>
  <c r="N491" i="1"/>
  <c r="H491" i="1"/>
  <c r="B491" i="1"/>
  <c r="R490" i="1"/>
  <c r="N490" i="1"/>
  <c r="H490" i="1"/>
  <c r="R487" i="1"/>
  <c r="N487" i="1"/>
  <c r="H487" i="1"/>
  <c r="R486" i="1"/>
  <c r="N486" i="1"/>
  <c r="H486" i="1"/>
  <c r="P485" i="1"/>
  <c r="N485" i="1"/>
  <c r="H485" i="1"/>
  <c r="R484" i="1"/>
  <c r="N484" i="1"/>
  <c r="H484" i="1"/>
  <c r="R483" i="1"/>
  <c r="N483" i="1"/>
  <c r="H483" i="1"/>
  <c r="R482" i="1"/>
  <c r="N482" i="1"/>
  <c r="H482" i="1"/>
  <c r="B482" i="1"/>
  <c r="B483" i="1" s="1"/>
  <c r="B484" i="1" s="1"/>
  <c r="B485" i="1" s="1"/>
  <c r="B486" i="1" s="1"/>
  <c r="B487" i="1" s="1"/>
  <c r="P481" i="1"/>
  <c r="N481" i="1"/>
  <c r="H481" i="1"/>
  <c r="T476" i="1"/>
  <c r="O476" i="1"/>
  <c r="M476" i="1"/>
  <c r="L476" i="1"/>
  <c r="K476" i="1"/>
  <c r="J476" i="1"/>
  <c r="I476" i="1"/>
  <c r="F476" i="1"/>
  <c r="R474" i="1"/>
  <c r="N474" i="1"/>
  <c r="H474" i="1"/>
  <c r="P473" i="1"/>
  <c r="N473" i="1"/>
  <c r="H473" i="1"/>
  <c r="R472" i="1"/>
  <c r="N472" i="1"/>
  <c r="H472" i="1"/>
  <c r="R471" i="1"/>
  <c r="N471" i="1"/>
  <c r="H471" i="1"/>
  <c r="P470" i="1"/>
  <c r="R470" i="1" s="1"/>
  <c r="N470" i="1"/>
  <c r="H470" i="1"/>
  <c r="P469" i="1"/>
  <c r="N469" i="1"/>
  <c r="H469" i="1"/>
  <c r="P468" i="1"/>
  <c r="N468" i="1"/>
  <c r="H468" i="1"/>
  <c r="R467" i="1"/>
  <c r="N467" i="1"/>
  <c r="H467" i="1"/>
  <c r="R466" i="1"/>
  <c r="N466" i="1"/>
  <c r="H466" i="1"/>
  <c r="P465" i="1"/>
  <c r="R465" i="1" s="1"/>
  <c r="N465" i="1"/>
  <c r="H465" i="1"/>
  <c r="R464" i="1"/>
  <c r="N464" i="1"/>
  <c r="H464" i="1"/>
  <c r="P463" i="1"/>
  <c r="R463" i="1" s="1"/>
  <c r="N463" i="1"/>
  <c r="H463" i="1"/>
  <c r="P462" i="1"/>
  <c r="N462" i="1"/>
  <c r="H462" i="1"/>
  <c r="P461" i="1"/>
  <c r="R461" i="1" s="1"/>
  <c r="N461" i="1"/>
  <c r="H461" i="1"/>
  <c r="B461" i="1"/>
  <c r="P460" i="1"/>
  <c r="R460" i="1" s="1"/>
  <c r="N460" i="1"/>
  <c r="H460" i="1"/>
  <c r="T454" i="1"/>
  <c r="O454" i="1"/>
  <c r="L454" i="1"/>
  <c r="K454" i="1"/>
  <c r="J454" i="1"/>
  <c r="I454" i="1"/>
  <c r="F454" i="1"/>
  <c r="R452" i="1"/>
  <c r="N452" i="1"/>
  <c r="H452" i="1"/>
  <c r="R451" i="1"/>
  <c r="N451" i="1"/>
  <c r="H451" i="1"/>
  <c r="R450" i="1"/>
  <c r="N450" i="1"/>
  <c r="H450" i="1"/>
  <c r="B450" i="1"/>
  <c r="B451" i="1" s="1"/>
  <c r="B452" i="1" s="1"/>
  <c r="P449" i="1"/>
  <c r="M449" i="1"/>
  <c r="H449" i="1"/>
  <c r="T444" i="1"/>
  <c r="O444" i="1"/>
  <c r="M444" i="1"/>
  <c r="L444" i="1"/>
  <c r="K444" i="1"/>
  <c r="J444" i="1"/>
  <c r="I444" i="1"/>
  <c r="F444" i="1"/>
  <c r="P442" i="1"/>
  <c r="N442" i="1"/>
  <c r="H442" i="1"/>
  <c r="B442" i="1"/>
  <c r="B444" i="1" s="1"/>
  <c r="R441" i="1"/>
  <c r="N441" i="1"/>
  <c r="H441" i="1"/>
  <c r="T436" i="1"/>
  <c r="O436" i="1"/>
  <c r="M436" i="1"/>
  <c r="L436" i="1"/>
  <c r="K436" i="1"/>
  <c r="J436" i="1"/>
  <c r="I436" i="1"/>
  <c r="F436" i="1"/>
  <c r="R434" i="1"/>
  <c r="N434" i="1"/>
  <c r="H434" i="1"/>
  <c r="R433" i="1"/>
  <c r="N433" i="1"/>
  <c r="H433" i="1"/>
  <c r="R432" i="1"/>
  <c r="N432" i="1"/>
  <c r="H432" i="1"/>
  <c r="R431" i="1"/>
  <c r="N431" i="1"/>
  <c r="H431" i="1"/>
  <c r="R430" i="1"/>
  <c r="N430" i="1"/>
  <c r="H430" i="1"/>
  <c r="B430" i="1"/>
  <c r="B431" i="1" s="1"/>
  <c r="B433" i="1" s="1"/>
  <c r="B434" i="1" s="1"/>
  <c r="R429" i="1"/>
  <c r="N429" i="1"/>
  <c r="H429" i="1"/>
  <c r="T424" i="1"/>
  <c r="O424" i="1"/>
  <c r="M424" i="1"/>
  <c r="L424" i="1"/>
  <c r="J424" i="1"/>
  <c r="I424" i="1"/>
  <c r="F424" i="1"/>
  <c r="R422" i="1"/>
  <c r="N422" i="1"/>
  <c r="H422" i="1"/>
  <c r="B422" i="1"/>
  <c r="R421" i="1"/>
  <c r="N421" i="1"/>
  <c r="H421" i="1"/>
  <c r="P417" i="1"/>
  <c r="N417" i="1"/>
  <c r="H417" i="1"/>
  <c r="R416" i="1"/>
  <c r="N416" i="1"/>
  <c r="H416" i="1"/>
  <c r="R415" i="1"/>
  <c r="N415" i="1"/>
  <c r="H415" i="1"/>
  <c r="R414" i="1"/>
  <c r="N414" i="1"/>
  <c r="H414" i="1"/>
  <c r="P413" i="1"/>
  <c r="N413" i="1"/>
  <c r="H413" i="1"/>
  <c r="R412" i="1"/>
  <c r="N412" i="1"/>
  <c r="H412" i="1"/>
  <c r="R411" i="1"/>
  <c r="N411" i="1"/>
  <c r="H411" i="1"/>
  <c r="R410" i="1"/>
  <c r="N410" i="1"/>
  <c r="K410" i="1"/>
  <c r="H410" i="1"/>
  <c r="P409" i="1"/>
  <c r="R409" i="1" s="1"/>
  <c r="N409" i="1"/>
  <c r="H409" i="1"/>
  <c r="R408" i="1"/>
  <c r="N408" i="1"/>
  <c r="H408" i="1"/>
  <c r="R407" i="1"/>
  <c r="N407" i="1"/>
  <c r="H407" i="1"/>
  <c r="R406" i="1"/>
  <c r="N406" i="1"/>
  <c r="H406" i="1"/>
  <c r="R405" i="1"/>
  <c r="N405" i="1"/>
  <c r="H405" i="1"/>
  <c r="R404" i="1"/>
  <c r="N404" i="1"/>
  <c r="H404" i="1"/>
  <c r="R403" i="1"/>
  <c r="N403" i="1"/>
  <c r="H403" i="1"/>
  <c r="P402" i="1"/>
  <c r="N402" i="1"/>
  <c r="H402" i="1"/>
  <c r="P401" i="1"/>
  <c r="N401" i="1"/>
  <c r="H401" i="1"/>
  <c r="B401" i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6" i="1" s="1"/>
  <c r="B417" i="1" s="1"/>
  <c r="R400" i="1"/>
  <c r="N400" i="1"/>
  <c r="H400" i="1"/>
  <c r="T395" i="1"/>
  <c r="O395" i="1"/>
  <c r="M395" i="1"/>
  <c r="L395" i="1"/>
  <c r="K395" i="1"/>
  <c r="J395" i="1"/>
  <c r="I395" i="1"/>
  <c r="F395" i="1"/>
  <c r="R393" i="1"/>
  <c r="N393" i="1"/>
  <c r="H393" i="1"/>
  <c r="R392" i="1"/>
  <c r="N392" i="1"/>
  <c r="H392" i="1"/>
  <c r="R391" i="1"/>
  <c r="N391" i="1"/>
  <c r="H391" i="1"/>
  <c r="B391" i="1"/>
  <c r="B392" i="1" s="1"/>
  <c r="B393" i="1" s="1"/>
  <c r="R390" i="1"/>
  <c r="N390" i="1"/>
  <c r="H390" i="1"/>
  <c r="R386" i="1"/>
  <c r="N386" i="1"/>
  <c r="H386" i="1"/>
  <c r="R385" i="1"/>
  <c r="N385" i="1"/>
  <c r="H385" i="1"/>
  <c r="R384" i="1"/>
  <c r="N384" i="1"/>
  <c r="H384" i="1"/>
  <c r="R383" i="1"/>
  <c r="N383" i="1"/>
  <c r="H383" i="1"/>
  <c r="P382" i="1"/>
  <c r="R382" i="1" s="1"/>
  <c r="N382" i="1"/>
  <c r="H382" i="1"/>
  <c r="R381" i="1"/>
  <c r="N381" i="1"/>
  <c r="H381" i="1"/>
  <c r="R380" i="1"/>
  <c r="N380" i="1"/>
  <c r="H380" i="1"/>
  <c r="R379" i="1"/>
  <c r="N379" i="1"/>
  <c r="H379" i="1"/>
  <c r="R378" i="1"/>
  <c r="N378" i="1"/>
  <c r="H378" i="1"/>
  <c r="R377" i="1"/>
  <c r="N377" i="1"/>
  <c r="H377" i="1"/>
  <c r="P376" i="1"/>
  <c r="N376" i="1"/>
  <c r="H376" i="1"/>
  <c r="R375" i="1"/>
  <c r="N375" i="1"/>
  <c r="H375" i="1"/>
  <c r="R374" i="1"/>
  <c r="N374" i="1"/>
  <c r="H374" i="1"/>
  <c r="R373" i="1"/>
  <c r="N373" i="1"/>
  <c r="H373" i="1"/>
  <c r="P372" i="1"/>
  <c r="R372" i="1" s="1"/>
  <c r="N372" i="1"/>
  <c r="H372" i="1"/>
  <c r="R371" i="1"/>
  <c r="N371" i="1"/>
  <c r="H371" i="1"/>
  <c r="R370" i="1"/>
  <c r="N370" i="1"/>
  <c r="H370" i="1"/>
  <c r="R369" i="1"/>
  <c r="N369" i="1"/>
  <c r="H369" i="1"/>
  <c r="R368" i="1"/>
  <c r="N368" i="1"/>
  <c r="H368" i="1"/>
  <c r="R367" i="1"/>
  <c r="N367" i="1"/>
  <c r="H367" i="1"/>
  <c r="R366" i="1"/>
  <c r="N366" i="1"/>
  <c r="H366" i="1"/>
  <c r="R365" i="1"/>
  <c r="N365" i="1"/>
  <c r="H365" i="1"/>
  <c r="R364" i="1"/>
  <c r="N364" i="1"/>
  <c r="H364" i="1"/>
  <c r="R363" i="1"/>
  <c r="N363" i="1"/>
  <c r="H363" i="1"/>
  <c r="B363" i="1"/>
  <c r="P362" i="1"/>
  <c r="N362" i="1"/>
  <c r="H362" i="1"/>
  <c r="T357" i="1"/>
  <c r="O357" i="1"/>
  <c r="M357" i="1"/>
  <c r="L357" i="1"/>
  <c r="K357" i="1"/>
  <c r="J357" i="1"/>
  <c r="I357" i="1"/>
  <c r="F357" i="1"/>
  <c r="R356" i="1"/>
  <c r="N356" i="1"/>
  <c r="H356" i="1"/>
  <c r="B356" i="1"/>
  <c r="B357" i="1" s="1"/>
  <c r="R355" i="1"/>
  <c r="N355" i="1"/>
  <c r="H355" i="1"/>
  <c r="T349" i="1"/>
  <c r="O349" i="1"/>
  <c r="M349" i="1"/>
  <c r="L349" i="1"/>
  <c r="K349" i="1"/>
  <c r="J349" i="1"/>
  <c r="I349" i="1"/>
  <c r="F349" i="1"/>
  <c r="R347" i="1"/>
  <c r="N347" i="1"/>
  <c r="H347" i="1"/>
  <c r="R346" i="1"/>
  <c r="N346" i="1"/>
  <c r="H346" i="1"/>
  <c r="R345" i="1"/>
  <c r="N345" i="1"/>
  <c r="H345" i="1"/>
  <c r="B345" i="1"/>
  <c r="B346" i="1" s="1"/>
  <c r="B347" i="1" s="1"/>
  <c r="R344" i="1"/>
  <c r="N344" i="1"/>
  <c r="H344" i="1"/>
  <c r="R341" i="1"/>
  <c r="N341" i="1"/>
  <c r="H341" i="1"/>
  <c r="R340" i="1"/>
  <c r="N340" i="1"/>
  <c r="H340" i="1"/>
  <c r="R339" i="1"/>
  <c r="N339" i="1"/>
  <c r="H339" i="1"/>
  <c r="P338" i="1"/>
  <c r="N338" i="1"/>
  <c r="H338" i="1"/>
  <c r="R337" i="1"/>
  <c r="N337" i="1"/>
  <c r="H337" i="1"/>
  <c r="B337" i="1"/>
  <c r="R336" i="1"/>
  <c r="N336" i="1"/>
  <c r="H336" i="1"/>
  <c r="T331" i="1"/>
  <c r="O331" i="1"/>
  <c r="M331" i="1"/>
  <c r="L331" i="1"/>
  <c r="K331" i="1"/>
  <c r="J331" i="1"/>
  <c r="I331" i="1"/>
  <c r="F331" i="1"/>
  <c r="B331" i="1"/>
  <c r="R329" i="1"/>
  <c r="N329" i="1"/>
  <c r="N331" i="1" s="1"/>
  <c r="H329" i="1"/>
  <c r="T324" i="1"/>
  <c r="O324" i="1"/>
  <c r="M324" i="1"/>
  <c r="L324" i="1"/>
  <c r="K324" i="1"/>
  <c r="I324" i="1"/>
  <c r="F324" i="1"/>
  <c r="R322" i="1"/>
  <c r="N322" i="1"/>
  <c r="H322" i="1"/>
  <c r="R321" i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H317" i="1"/>
  <c r="R316" i="1"/>
  <c r="N316" i="1"/>
  <c r="H316" i="1"/>
  <c r="R315" i="1"/>
  <c r="N315" i="1"/>
  <c r="H315" i="1"/>
  <c r="R314" i="1"/>
  <c r="N314" i="1"/>
  <c r="H314" i="1"/>
  <c r="R313" i="1"/>
  <c r="N313" i="1"/>
  <c r="H313" i="1"/>
  <c r="R312" i="1"/>
  <c r="N312" i="1"/>
  <c r="H312" i="1"/>
  <c r="R311" i="1"/>
  <c r="N311" i="1"/>
  <c r="H311" i="1"/>
  <c r="R310" i="1"/>
  <c r="N310" i="1"/>
  <c r="H310" i="1"/>
  <c r="R309" i="1"/>
  <c r="N309" i="1"/>
  <c r="H309" i="1"/>
  <c r="R308" i="1"/>
  <c r="N308" i="1"/>
  <c r="H308" i="1"/>
  <c r="B308" i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R307" i="1"/>
  <c r="N307" i="1"/>
  <c r="H307" i="1"/>
  <c r="R304" i="1"/>
  <c r="N304" i="1"/>
  <c r="J304" i="1"/>
  <c r="H304" i="1"/>
  <c r="R303" i="1"/>
  <c r="N303" i="1"/>
  <c r="H303" i="1"/>
  <c r="R302" i="1"/>
  <c r="N302" i="1"/>
  <c r="H302" i="1"/>
  <c r="P301" i="1"/>
  <c r="N301" i="1"/>
  <c r="H301" i="1"/>
  <c r="R300" i="1"/>
  <c r="N300" i="1"/>
  <c r="H300" i="1"/>
  <c r="R299" i="1"/>
  <c r="N299" i="1"/>
  <c r="H299" i="1"/>
  <c r="P298" i="1"/>
  <c r="N298" i="1"/>
  <c r="H298" i="1"/>
  <c r="R297" i="1"/>
  <c r="N297" i="1"/>
  <c r="H297" i="1"/>
  <c r="R296" i="1"/>
  <c r="N296" i="1"/>
  <c r="H296" i="1"/>
  <c r="R295" i="1"/>
  <c r="N295" i="1"/>
  <c r="H295" i="1"/>
  <c r="P294" i="1"/>
  <c r="N294" i="1"/>
  <c r="H294" i="1"/>
  <c r="R293" i="1"/>
  <c r="H293" i="1"/>
  <c r="R292" i="1"/>
  <c r="N292" i="1"/>
  <c r="H292" i="1"/>
  <c r="R291" i="1"/>
  <c r="N291" i="1"/>
  <c r="H291" i="1"/>
  <c r="R290" i="1"/>
  <c r="N290" i="1"/>
  <c r="H290" i="1"/>
  <c r="R289" i="1"/>
  <c r="N289" i="1"/>
  <c r="H289" i="1"/>
  <c r="R288" i="1"/>
  <c r="N288" i="1"/>
  <c r="H288" i="1"/>
  <c r="R287" i="1"/>
  <c r="N287" i="1"/>
  <c r="H287" i="1"/>
  <c r="R286" i="1"/>
  <c r="N286" i="1"/>
  <c r="H286" i="1"/>
  <c r="R285" i="1"/>
  <c r="N285" i="1"/>
  <c r="H285" i="1"/>
  <c r="R284" i="1"/>
  <c r="N284" i="1"/>
  <c r="H284" i="1"/>
  <c r="R283" i="1"/>
  <c r="N283" i="1"/>
  <c r="H283" i="1"/>
  <c r="R282" i="1"/>
  <c r="N282" i="1"/>
  <c r="H282" i="1"/>
  <c r="R281" i="1"/>
  <c r="N281" i="1"/>
  <c r="H281" i="1"/>
  <c r="R280" i="1"/>
  <c r="N280" i="1"/>
  <c r="H280" i="1"/>
  <c r="R279" i="1"/>
  <c r="N279" i="1"/>
  <c r="H279" i="1"/>
  <c r="R278" i="1"/>
  <c r="N278" i="1"/>
  <c r="H278" i="1"/>
  <c r="R277" i="1"/>
  <c r="N277" i="1"/>
  <c r="H277" i="1"/>
  <c r="R276" i="1"/>
  <c r="N276" i="1"/>
  <c r="H276" i="1"/>
  <c r="R275" i="1"/>
  <c r="N275" i="1"/>
  <c r="H275" i="1"/>
  <c r="R274" i="1"/>
  <c r="N274" i="1"/>
  <c r="H274" i="1"/>
  <c r="R273" i="1"/>
  <c r="N273" i="1"/>
  <c r="H273" i="1"/>
  <c r="R272" i="1"/>
  <c r="N272" i="1"/>
  <c r="H272" i="1"/>
  <c r="R271" i="1"/>
  <c r="N271" i="1"/>
  <c r="H271" i="1"/>
  <c r="B271" i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R270" i="1"/>
  <c r="N270" i="1"/>
  <c r="H270" i="1"/>
  <c r="T265" i="1"/>
  <c r="O265" i="1"/>
  <c r="M265" i="1"/>
  <c r="L265" i="1"/>
  <c r="K265" i="1"/>
  <c r="J265" i="1"/>
  <c r="I265" i="1"/>
  <c r="F265" i="1"/>
  <c r="R263" i="1"/>
  <c r="N263" i="1"/>
  <c r="H263" i="1"/>
  <c r="R262" i="1"/>
  <c r="N262" i="1"/>
  <c r="H262" i="1"/>
  <c r="B262" i="1"/>
  <c r="B263" i="1" s="1"/>
  <c r="R261" i="1"/>
  <c r="N261" i="1"/>
  <c r="H261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R254" i="1"/>
  <c r="N254" i="1"/>
  <c r="H254" i="1"/>
  <c r="B254" i="1"/>
  <c r="R253" i="1"/>
  <c r="N253" i="1"/>
  <c r="H253" i="1"/>
  <c r="T248" i="1"/>
  <c r="O248" i="1"/>
  <c r="L248" i="1"/>
  <c r="K248" i="1"/>
  <c r="J248" i="1"/>
  <c r="I248" i="1"/>
  <c r="F248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R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R227" i="1"/>
  <c r="N227" i="1"/>
  <c r="H227" i="1"/>
  <c r="R226" i="1"/>
  <c r="N226" i="1"/>
  <c r="H226" i="1"/>
  <c r="R225" i="1"/>
  <c r="N225" i="1"/>
  <c r="H225" i="1"/>
  <c r="R224" i="1"/>
  <c r="N224" i="1"/>
  <c r="H224" i="1"/>
  <c r="R223" i="1"/>
  <c r="N223" i="1"/>
  <c r="H223" i="1"/>
  <c r="R222" i="1"/>
  <c r="N222" i="1"/>
  <c r="H222" i="1"/>
  <c r="R221" i="1"/>
  <c r="N221" i="1"/>
  <c r="H221" i="1"/>
  <c r="B221" i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R220" i="1"/>
  <c r="N220" i="1"/>
  <c r="H220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R204" i="1"/>
  <c r="N204" i="1"/>
  <c r="H204" i="1"/>
  <c r="R203" i="1"/>
  <c r="N203" i="1"/>
  <c r="H203" i="1"/>
  <c r="P202" i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R189" i="1"/>
  <c r="N189" i="1"/>
  <c r="H189" i="1"/>
  <c r="R188" i="1"/>
  <c r="M188" i="1"/>
  <c r="M248" i="1" s="1"/>
  <c r="H188" i="1"/>
  <c r="R187" i="1"/>
  <c r="N187" i="1"/>
  <c r="H187" i="1"/>
  <c r="R186" i="1"/>
  <c r="N186" i="1"/>
  <c r="H186" i="1"/>
  <c r="B186" i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R185" i="1"/>
  <c r="N185" i="1"/>
  <c r="H185" i="1"/>
  <c r="T179" i="1"/>
  <c r="O179" i="1"/>
  <c r="M179" i="1"/>
  <c r="L179" i="1"/>
  <c r="K179" i="1"/>
  <c r="J179" i="1"/>
  <c r="I179" i="1"/>
  <c r="F179" i="1"/>
  <c r="R177" i="1"/>
  <c r="N177" i="1"/>
  <c r="H177" i="1"/>
  <c r="R176" i="1"/>
  <c r="N176" i="1"/>
  <c r="H176" i="1"/>
  <c r="R175" i="1"/>
  <c r="N175" i="1"/>
  <c r="H175" i="1"/>
  <c r="B175" i="1"/>
  <c r="B176" i="1" s="1"/>
  <c r="P174" i="1"/>
  <c r="N174" i="1"/>
  <c r="H174" i="1"/>
  <c r="T169" i="1"/>
  <c r="O169" i="1"/>
  <c r="M169" i="1"/>
  <c r="L169" i="1"/>
  <c r="K169" i="1"/>
  <c r="J169" i="1"/>
  <c r="I169" i="1"/>
  <c r="F169" i="1"/>
  <c r="R167" i="1"/>
  <c r="N167" i="1"/>
  <c r="H167" i="1"/>
  <c r="R166" i="1"/>
  <c r="N166" i="1"/>
  <c r="H166" i="1"/>
  <c r="R165" i="1"/>
  <c r="N165" i="1"/>
  <c r="H165" i="1"/>
  <c r="R164" i="1"/>
  <c r="N164" i="1"/>
  <c r="H164" i="1"/>
  <c r="B164" i="1"/>
  <c r="B165" i="1" s="1"/>
  <c r="B166" i="1" s="1"/>
  <c r="B167" i="1" s="1"/>
  <c r="R163" i="1"/>
  <c r="N163" i="1"/>
  <c r="H163" i="1"/>
  <c r="R160" i="1"/>
  <c r="N160" i="1"/>
  <c r="H160" i="1"/>
  <c r="R159" i="1"/>
  <c r="N159" i="1"/>
  <c r="H159" i="1"/>
  <c r="R158" i="1"/>
  <c r="N158" i="1"/>
  <c r="H158" i="1"/>
  <c r="R157" i="1"/>
  <c r="N157" i="1"/>
  <c r="H157" i="1"/>
  <c r="R156" i="1"/>
  <c r="N156" i="1"/>
  <c r="H156" i="1"/>
  <c r="R155" i="1"/>
  <c r="N155" i="1"/>
  <c r="H155" i="1"/>
  <c r="R154" i="1"/>
  <c r="N154" i="1"/>
  <c r="H154" i="1"/>
  <c r="R153" i="1"/>
  <c r="N153" i="1"/>
  <c r="H153" i="1"/>
  <c r="R152" i="1"/>
  <c r="N152" i="1"/>
  <c r="H152" i="1"/>
  <c r="P150" i="1"/>
  <c r="N150" i="1"/>
  <c r="H150" i="1"/>
  <c r="R149" i="1"/>
  <c r="N149" i="1"/>
  <c r="H149" i="1"/>
  <c r="R148" i="1"/>
  <c r="N148" i="1"/>
  <c r="H148" i="1"/>
  <c r="P147" i="1"/>
  <c r="N147" i="1"/>
  <c r="H147" i="1"/>
  <c r="R146" i="1"/>
  <c r="N146" i="1"/>
  <c r="H146" i="1"/>
  <c r="R145" i="1"/>
  <c r="N145" i="1"/>
  <c r="H145" i="1"/>
  <c r="P144" i="1"/>
  <c r="N144" i="1"/>
  <c r="H144" i="1"/>
  <c r="P143" i="1"/>
  <c r="N143" i="1"/>
  <c r="H143" i="1"/>
  <c r="R142" i="1"/>
  <c r="N142" i="1"/>
  <c r="H142" i="1"/>
  <c r="R141" i="1"/>
  <c r="N141" i="1"/>
  <c r="H141" i="1"/>
  <c r="P140" i="1"/>
  <c r="N140" i="1"/>
  <c r="H140" i="1"/>
  <c r="R139" i="1"/>
  <c r="N139" i="1"/>
  <c r="H139" i="1"/>
  <c r="Q138" i="1"/>
  <c r="P138" i="1"/>
  <c r="N138" i="1"/>
  <c r="H138" i="1"/>
  <c r="R137" i="1"/>
  <c r="N137" i="1"/>
  <c r="H137" i="1"/>
  <c r="P136" i="1"/>
  <c r="R136" i="1" s="1"/>
  <c r="N136" i="1"/>
  <c r="H136" i="1"/>
  <c r="B136" i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P135" i="1"/>
  <c r="N135" i="1"/>
  <c r="H135" i="1"/>
  <c r="T130" i="1"/>
  <c r="O130" i="1"/>
  <c r="M130" i="1"/>
  <c r="L130" i="1"/>
  <c r="K130" i="1"/>
  <c r="J130" i="1"/>
  <c r="I130" i="1"/>
  <c r="F130" i="1"/>
  <c r="P128" i="1"/>
  <c r="N128" i="1"/>
  <c r="H128" i="1"/>
  <c r="R127" i="1"/>
  <c r="N127" i="1"/>
  <c r="H127" i="1"/>
  <c r="R126" i="1"/>
  <c r="N126" i="1"/>
  <c r="H126" i="1"/>
  <c r="P125" i="1"/>
  <c r="N125" i="1"/>
  <c r="H125" i="1"/>
  <c r="R124" i="1"/>
  <c r="N124" i="1"/>
  <c r="H124" i="1"/>
  <c r="R123" i="1"/>
  <c r="N123" i="1"/>
  <c r="H123" i="1"/>
  <c r="P122" i="1"/>
  <c r="N122" i="1"/>
  <c r="H122" i="1"/>
  <c r="P121" i="1"/>
  <c r="N121" i="1"/>
  <c r="H121" i="1"/>
  <c r="R120" i="1"/>
  <c r="N120" i="1"/>
  <c r="H120" i="1"/>
  <c r="P119" i="1"/>
  <c r="R119" i="1" s="1"/>
  <c r="N119" i="1"/>
  <c r="H119" i="1"/>
  <c r="P118" i="1"/>
  <c r="R118" i="1" s="1"/>
  <c r="N118" i="1"/>
  <c r="H118" i="1"/>
  <c r="P117" i="1"/>
  <c r="N117" i="1"/>
  <c r="H117" i="1"/>
  <c r="P116" i="1"/>
  <c r="N116" i="1"/>
  <c r="H116" i="1"/>
  <c r="P115" i="1"/>
  <c r="N115" i="1"/>
  <c r="H115" i="1"/>
  <c r="P114" i="1"/>
  <c r="N114" i="1"/>
  <c r="H114" i="1"/>
  <c r="P113" i="1"/>
  <c r="N113" i="1"/>
  <c r="H113" i="1"/>
  <c r="P112" i="1"/>
  <c r="N112" i="1"/>
  <c r="H112" i="1"/>
  <c r="P111" i="1"/>
  <c r="N111" i="1"/>
  <c r="H111" i="1"/>
  <c r="B111" i="1"/>
  <c r="P110" i="1"/>
  <c r="R110" i="1" s="1"/>
  <c r="N110" i="1"/>
  <c r="H110" i="1"/>
  <c r="T105" i="1"/>
  <c r="O105" i="1"/>
  <c r="L105" i="1"/>
  <c r="I105" i="1"/>
  <c r="F105" i="1"/>
  <c r="R103" i="1"/>
  <c r="N103" i="1"/>
  <c r="H103" i="1"/>
  <c r="R102" i="1"/>
  <c r="N102" i="1"/>
  <c r="H102" i="1"/>
  <c r="R101" i="1"/>
  <c r="N101" i="1"/>
  <c r="J101" i="1"/>
  <c r="H101" i="1"/>
  <c r="R100" i="1"/>
  <c r="M100" i="1"/>
  <c r="M105" i="1" s="1"/>
  <c r="H100" i="1"/>
  <c r="R99" i="1"/>
  <c r="N99" i="1"/>
  <c r="H99" i="1"/>
  <c r="B99" i="1"/>
  <c r="B100" i="1" s="1"/>
  <c r="B101" i="1" s="1"/>
  <c r="B102" i="1" s="1"/>
  <c r="B103" i="1" s="1"/>
  <c r="R98" i="1"/>
  <c r="N98" i="1"/>
  <c r="H98" i="1"/>
  <c r="R95" i="1"/>
  <c r="N95" i="1"/>
  <c r="K95" i="1"/>
  <c r="H95" i="1"/>
  <c r="R94" i="1"/>
  <c r="N94" i="1"/>
  <c r="H94" i="1"/>
  <c r="R93" i="1"/>
  <c r="N93" i="1"/>
  <c r="H93" i="1"/>
  <c r="H92" i="1"/>
  <c r="P91" i="1"/>
  <c r="N91" i="1"/>
  <c r="H91" i="1"/>
  <c r="R90" i="1"/>
  <c r="N90" i="1"/>
  <c r="H90" i="1"/>
  <c r="P89" i="1"/>
  <c r="N89" i="1"/>
  <c r="H89" i="1"/>
  <c r="R88" i="1"/>
  <c r="N88" i="1"/>
  <c r="H88" i="1"/>
  <c r="R87" i="1"/>
  <c r="N87" i="1"/>
  <c r="H87" i="1"/>
  <c r="R86" i="1"/>
  <c r="N86" i="1"/>
  <c r="H86" i="1"/>
  <c r="R85" i="1"/>
  <c r="N85" i="1"/>
  <c r="H85" i="1"/>
  <c r="R84" i="1"/>
  <c r="N84" i="1"/>
  <c r="H84" i="1"/>
  <c r="R83" i="1"/>
  <c r="N83" i="1"/>
  <c r="H83" i="1"/>
  <c r="R82" i="1"/>
  <c r="N82" i="1"/>
  <c r="H82" i="1"/>
  <c r="R81" i="1"/>
  <c r="N81" i="1"/>
  <c r="H81" i="1"/>
  <c r="R80" i="1"/>
  <c r="N80" i="1"/>
  <c r="H80" i="1"/>
  <c r="R79" i="1"/>
  <c r="N79" i="1"/>
  <c r="J79" i="1"/>
  <c r="H79" i="1"/>
  <c r="R78" i="1"/>
  <c r="N78" i="1"/>
  <c r="H78" i="1"/>
  <c r="R77" i="1"/>
  <c r="N77" i="1"/>
  <c r="H77" i="1"/>
  <c r="P76" i="1"/>
  <c r="N76" i="1"/>
  <c r="H76" i="1"/>
  <c r="R75" i="1"/>
  <c r="N75" i="1"/>
  <c r="H75" i="1"/>
  <c r="P74" i="1"/>
  <c r="N74" i="1"/>
  <c r="H74" i="1"/>
  <c r="R73" i="1"/>
  <c r="N73" i="1"/>
  <c r="H73" i="1"/>
  <c r="R72" i="1"/>
  <c r="N72" i="1"/>
  <c r="H72" i="1"/>
  <c r="R71" i="1"/>
  <c r="N71" i="1"/>
  <c r="H71" i="1"/>
  <c r="P70" i="1"/>
  <c r="N70" i="1"/>
  <c r="H70" i="1"/>
  <c r="R69" i="1"/>
  <c r="N69" i="1"/>
  <c r="H69" i="1"/>
  <c r="P68" i="1"/>
  <c r="N68" i="1"/>
  <c r="H68" i="1"/>
  <c r="R67" i="1"/>
  <c r="N67" i="1"/>
  <c r="H67" i="1"/>
  <c r="B67" i="1"/>
  <c r="R66" i="1"/>
  <c r="N66" i="1"/>
  <c r="H66" i="1"/>
  <c r="T61" i="1"/>
  <c r="O61" i="1"/>
  <c r="M61" i="1"/>
  <c r="L61" i="1"/>
  <c r="K61" i="1"/>
  <c r="J61" i="1"/>
  <c r="I61" i="1"/>
  <c r="F61" i="1"/>
  <c r="R59" i="1"/>
  <c r="N59" i="1"/>
  <c r="H59" i="1"/>
  <c r="R58" i="1"/>
  <c r="N58" i="1"/>
  <c r="H58" i="1"/>
  <c r="R57" i="1"/>
  <c r="N57" i="1"/>
  <c r="H57" i="1"/>
  <c r="R56" i="1"/>
  <c r="N56" i="1"/>
  <c r="H56" i="1"/>
  <c r="B56" i="1"/>
  <c r="B57" i="1" s="1"/>
  <c r="B58" i="1" s="1"/>
  <c r="R55" i="1"/>
  <c r="N55" i="1"/>
  <c r="H55" i="1"/>
  <c r="P52" i="1"/>
  <c r="N52" i="1"/>
  <c r="H52" i="1"/>
  <c r="B52" i="1"/>
  <c r="R51" i="1"/>
  <c r="N51" i="1"/>
  <c r="H51" i="1"/>
  <c r="T46" i="1"/>
  <c r="O46" i="1"/>
  <c r="M46" i="1"/>
  <c r="L46" i="1"/>
  <c r="K46" i="1"/>
  <c r="J46" i="1"/>
  <c r="I46" i="1"/>
  <c r="F46" i="1"/>
  <c r="R44" i="1"/>
  <c r="N44" i="1"/>
  <c r="H44" i="1"/>
  <c r="B44" i="1"/>
  <c r="R43" i="1"/>
  <c r="N43" i="1"/>
  <c r="H43" i="1"/>
  <c r="R40" i="1"/>
  <c r="N40" i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R33" i="1"/>
  <c r="N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R28" i="1"/>
  <c r="N28" i="1"/>
  <c r="H28" i="1"/>
  <c r="R27" i="1"/>
  <c r="N27" i="1"/>
  <c r="H27" i="1"/>
  <c r="R26" i="1"/>
  <c r="N26" i="1"/>
  <c r="H26" i="1"/>
  <c r="R25" i="1"/>
  <c r="N25" i="1"/>
  <c r="H25" i="1"/>
  <c r="R24" i="1"/>
  <c r="N24" i="1"/>
  <c r="H24" i="1"/>
  <c r="R23" i="1"/>
  <c r="N23" i="1"/>
  <c r="H23" i="1"/>
  <c r="R22" i="1"/>
  <c r="N22" i="1"/>
  <c r="H22" i="1"/>
  <c r="B22" i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R21" i="1"/>
  <c r="N21" i="1"/>
  <c r="H21" i="1"/>
  <c r="T16" i="1"/>
  <c r="O16" i="1"/>
  <c r="M16" i="1"/>
  <c r="L16" i="1"/>
  <c r="K16" i="1"/>
  <c r="J16" i="1"/>
  <c r="I16" i="1"/>
  <c r="F16" i="1"/>
  <c r="R14" i="1"/>
  <c r="N14" i="1"/>
  <c r="H14" i="1"/>
  <c r="B14" i="1"/>
  <c r="R13" i="1"/>
  <c r="N13" i="1"/>
  <c r="H13" i="1"/>
  <c r="R10" i="1"/>
  <c r="N10" i="1"/>
  <c r="H10" i="1"/>
  <c r="P9" i="1"/>
  <c r="N9" i="1"/>
  <c r="H9" i="1"/>
  <c r="B9" i="1"/>
  <c r="R8" i="1"/>
  <c r="N8" i="1"/>
  <c r="H8" i="1"/>
  <c r="N710" i="1" l="1"/>
  <c r="M527" i="1"/>
  <c r="M679" i="1"/>
  <c r="R663" i="1"/>
  <c r="B493" i="1"/>
  <c r="R468" i="1"/>
  <c r="N444" i="1"/>
  <c r="N357" i="1"/>
  <c r="R693" i="1"/>
  <c r="F679" i="1"/>
  <c r="R586" i="1"/>
  <c r="H357" i="1"/>
  <c r="R376" i="1"/>
  <c r="N815" i="1"/>
  <c r="T679" i="1"/>
  <c r="R449" i="1"/>
  <c r="B454" i="1"/>
  <c r="R462" i="1"/>
  <c r="R741" i="1"/>
  <c r="R768" i="1"/>
  <c r="H577" i="1"/>
  <c r="H699" i="1"/>
  <c r="R732" i="1"/>
  <c r="H265" i="1"/>
  <c r="R174" i="1"/>
  <c r="N424" i="1"/>
  <c r="R115" i="1"/>
  <c r="R116" i="1"/>
  <c r="R650" i="1"/>
  <c r="R150" i="1"/>
  <c r="N16" i="1"/>
  <c r="B324" i="1"/>
  <c r="R664" i="1"/>
  <c r="R128" i="1"/>
  <c r="N476" i="1"/>
  <c r="R402" i="1"/>
  <c r="R622" i="1"/>
  <c r="H46" i="1"/>
  <c r="K105" i="1"/>
  <c r="R558" i="1"/>
  <c r="R635" i="1"/>
  <c r="N776" i="1"/>
  <c r="R202" i="1"/>
  <c r="R538" i="1"/>
  <c r="R660" i="1"/>
  <c r="R401" i="1"/>
  <c r="H803" i="1"/>
  <c r="H710" i="1"/>
  <c r="R121" i="1"/>
  <c r="N46" i="1"/>
  <c r="R746" i="1"/>
  <c r="R540" i="1"/>
  <c r="N625" i="1"/>
  <c r="R631" i="1"/>
  <c r="R751" i="1"/>
  <c r="J324" i="1"/>
  <c r="N759" i="1"/>
  <c r="H815" i="1"/>
  <c r="H61" i="1"/>
  <c r="R112" i="1"/>
  <c r="H395" i="1"/>
  <c r="B810" i="1"/>
  <c r="B811" i="1" s="1"/>
  <c r="B812" i="1" s="1"/>
  <c r="B813" i="1" s="1"/>
  <c r="N699" i="1"/>
  <c r="N589" i="1"/>
  <c r="N395" i="1"/>
  <c r="H454" i="1"/>
  <c r="H105" i="1"/>
  <c r="R122" i="1"/>
  <c r="R113" i="1"/>
  <c r="R74" i="1"/>
  <c r="B59" i="1"/>
  <c r="B61" i="1" s="1"/>
  <c r="R469" i="1"/>
  <c r="R147" i="1"/>
  <c r="R485" i="1"/>
  <c r="R114" i="1"/>
  <c r="R91" i="1"/>
  <c r="J105" i="1"/>
  <c r="H331" i="1"/>
  <c r="K424" i="1"/>
  <c r="R481" i="1"/>
  <c r="R117" i="1"/>
  <c r="R294" i="1"/>
  <c r="B462" i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6" i="1"/>
  <c r="R76" i="1"/>
  <c r="B248" i="1"/>
  <c r="B255" i="1"/>
  <c r="B256" i="1" s="1"/>
  <c r="B257" i="1" s="1"/>
  <c r="B258" i="1" s="1"/>
  <c r="N349" i="1"/>
  <c r="B338" i="1"/>
  <c r="B339" i="1" s="1"/>
  <c r="B340" i="1" s="1"/>
  <c r="B341" i="1" s="1"/>
  <c r="R653" i="1"/>
  <c r="B686" i="1"/>
  <c r="B687" i="1" s="1"/>
  <c r="B688" i="1" s="1"/>
  <c r="B689" i="1" s="1"/>
  <c r="B690" i="1" s="1"/>
  <c r="B691" i="1" s="1"/>
  <c r="B692" i="1" s="1"/>
  <c r="B693" i="1" s="1"/>
  <c r="B177" i="1"/>
  <c r="B179" i="1" s="1"/>
  <c r="B10" i="1"/>
  <c r="B16" i="1"/>
  <c r="B68" i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R68" i="1"/>
  <c r="H324" i="1"/>
  <c r="H16" i="1"/>
  <c r="N100" i="1"/>
  <c r="N105" i="1" s="1"/>
  <c r="R70" i="1"/>
  <c r="H248" i="1"/>
  <c r="N188" i="1"/>
  <c r="N248" i="1" s="1"/>
  <c r="R338" i="1"/>
  <c r="H179" i="1"/>
  <c r="R143" i="1"/>
  <c r="R144" i="1"/>
  <c r="H503" i="1"/>
  <c r="B623" i="1"/>
  <c r="B625" i="1" s="1"/>
  <c r="I679" i="1"/>
  <c r="N573" i="1"/>
  <c r="N577" i="1" s="1"/>
  <c r="R138" i="1"/>
  <c r="B46" i="1"/>
  <c r="N61" i="1"/>
  <c r="B112" i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N130" i="1"/>
  <c r="H130" i="1"/>
  <c r="N265" i="1"/>
  <c r="B364" i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5" i="1" s="1"/>
  <c r="B386" i="1" s="1"/>
  <c r="R417" i="1"/>
  <c r="H436" i="1"/>
  <c r="H493" i="1"/>
  <c r="R89" i="1"/>
  <c r="R771" i="1"/>
  <c r="B169" i="1"/>
  <c r="N179" i="1"/>
  <c r="R362" i="1"/>
  <c r="R552" i="1"/>
  <c r="N169" i="1"/>
  <c r="R140" i="1"/>
  <c r="R301" i="1"/>
  <c r="R473" i="1"/>
  <c r="N545" i="1"/>
  <c r="O679" i="1"/>
  <c r="R9" i="1"/>
  <c r="R111" i="1"/>
  <c r="R125" i="1"/>
  <c r="B501" i="1"/>
  <c r="B503" i="1" s="1"/>
  <c r="H614" i="1"/>
  <c r="R52" i="1"/>
  <c r="N614" i="1"/>
  <c r="H169" i="1"/>
  <c r="H545" i="1"/>
  <c r="B534" i="1"/>
  <c r="B535" i="1" s="1"/>
  <c r="B536" i="1" s="1"/>
  <c r="B537" i="1" s="1"/>
  <c r="B538" i="1" s="1"/>
  <c r="B539" i="1" s="1"/>
  <c r="B540" i="1" s="1"/>
  <c r="R656" i="1"/>
  <c r="R667" i="1"/>
  <c r="N324" i="1"/>
  <c r="H444" i="1"/>
  <c r="N449" i="1"/>
  <c r="N454" i="1" s="1"/>
  <c r="M454" i="1"/>
  <c r="R638" i="1"/>
  <c r="R413" i="1"/>
  <c r="H476" i="1"/>
  <c r="N493" i="1"/>
  <c r="R636" i="1"/>
  <c r="H349" i="1"/>
  <c r="R500" i="1"/>
  <c r="B509" i="1"/>
  <c r="B510" i="1" s="1"/>
  <c r="B511" i="1" s="1"/>
  <c r="B512" i="1" s="1"/>
  <c r="B513" i="1" s="1"/>
  <c r="B514" i="1" s="1"/>
  <c r="B515" i="1" s="1"/>
  <c r="B516" i="1" s="1"/>
  <c r="B517" i="1" s="1"/>
  <c r="B518" i="1" s="1"/>
  <c r="B519" i="1" s="1"/>
  <c r="R539" i="1"/>
  <c r="B572" i="1"/>
  <c r="B573" i="1" s="1"/>
  <c r="B574" i="1" s="1"/>
  <c r="B575" i="1" s="1"/>
  <c r="N527" i="1"/>
  <c r="N503" i="1"/>
  <c r="R135" i="1"/>
  <c r="R298" i="1"/>
  <c r="B436" i="1"/>
  <c r="B584" i="1"/>
  <c r="B585" i="1" s="1"/>
  <c r="B586" i="1" s="1"/>
  <c r="B587" i="1" s="1"/>
  <c r="H645" i="1"/>
  <c r="H424" i="1"/>
  <c r="R442" i="1"/>
  <c r="N564" i="1"/>
  <c r="B596" i="1"/>
  <c r="B597" i="1" s="1"/>
  <c r="B598" i="1" s="1"/>
  <c r="B599" i="1" s="1"/>
  <c r="B600" i="1" s="1"/>
  <c r="B601" i="1" s="1"/>
  <c r="B602" i="1" s="1"/>
  <c r="B603" i="1" s="1"/>
  <c r="B604" i="1" s="1"/>
  <c r="B605" i="1" s="1"/>
  <c r="B606" i="1" s="1"/>
  <c r="B607" i="1" s="1"/>
  <c r="B608" i="1" s="1"/>
  <c r="B609" i="1" s="1"/>
  <c r="H724" i="1"/>
  <c r="N436" i="1"/>
  <c r="H527" i="1"/>
  <c r="B564" i="1"/>
  <c r="B636" i="1"/>
  <c r="B637" i="1" s="1"/>
  <c r="B638" i="1" s="1"/>
  <c r="B639" i="1" s="1"/>
  <c r="B640" i="1" s="1"/>
  <c r="B641" i="1" s="1"/>
  <c r="B642" i="1" s="1"/>
  <c r="B643" i="1" s="1"/>
  <c r="B424" i="1"/>
  <c r="R621" i="1"/>
  <c r="H759" i="1"/>
  <c r="H776" i="1"/>
  <c r="R685" i="1"/>
  <c r="H564" i="1"/>
  <c r="B759" i="1"/>
  <c r="R743" i="1"/>
  <c r="N803" i="1"/>
  <c r="R595" i="1"/>
  <c r="H625" i="1"/>
  <c r="J679" i="1"/>
  <c r="B783" i="1"/>
  <c r="B784" i="1" s="1"/>
  <c r="B785" i="1" s="1"/>
  <c r="B786" i="1" s="1"/>
  <c r="B787" i="1" s="1"/>
  <c r="B788" i="1" s="1"/>
  <c r="B789" i="1" s="1"/>
  <c r="B790" i="1" s="1"/>
  <c r="B791" i="1" s="1"/>
  <c r="B792" i="1" s="1"/>
  <c r="B793" i="1" s="1"/>
  <c r="B794" i="1" s="1"/>
  <c r="B795" i="1" s="1"/>
  <c r="N724" i="1"/>
  <c r="H589" i="1"/>
  <c r="R623" i="1"/>
  <c r="K679" i="1"/>
  <c r="J803" i="1"/>
  <c r="N645" i="1"/>
  <c r="B724" i="1"/>
  <c r="R795" i="1"/>
  <c r="B766" i="1"/>
  <c r="B767" i="1" s="1"/>
  <c r="B768" i="1" s="1"/>
  <c r="B769" i="1" s="1"/>
  <c r="B770" i="1" s="1"/>
  <c r="B771" i="1" s="1"/>
  <c r="R801" i="1"/>
  <c r="B395" i="1" l="1"/>
  <c r="B645" i="1"/>
  <c r="B679" i="1" s="1"/>
  <c r="B265" i="1"/>
  <c r="N679" i="1"/>
  <c r="B815" i="1"/>
  <c r="B776" i="1"/>
  <c r="B589" i="1"/>
  <c r="B105" i="1"/>
  <c r="B527" i="1"/>
  <c r="B577" i="1"/>
  <c r="B803" i="1"/>
  <c r="H679" i="1"/>
  <c r="B130" i="1"/>
  <c r="B545" i="1"/>
  <c r="B614" i="1"/>
  <c r="B349" i="1"/>
  <c r="B699" i="1"/>
</calcChain>
</file>

<file path=xl/sharedStrings.xml><?xml version="1.0" encoding="utf-8"?>
<sst xmlns="http://schemas.openxmlformats.org/spreadsheetml/2006/main" count="1175" uniqueCount="1142">
  <si>
    <t>DATA FOR THE YEAR 2025</t>
  </si>
  <si>
    <t>Sr. No.</t>
  </si>
  <si>
    <t>Symbol</t>
  </si>
  <si>
    <t>Name of Company</t>
  </si>
  <si>
    <t>Year End</t>
  </si>
  <si>
    <t>Paid up Capital</t>
  </si>
  <si>
    <t>Face Value</t>
  </si>
  <si>
    <t>Number of Shares</t>
  </si>
  <si>
    <t>Shareholders' Equity</t>
  </si>
  <si>
    <t>Total Assets</t>
  </si>
  <si>
    <t>Sales / Total Income</t>
  </si>
  <si>
    <t>Financial Charges</t>
  </si>
  <si>
    <t>Profit Before Taxation</t>
  </si>
  <si>
    <t>Taxation</t>
  </si>
  <si>
    <t>Profit After Taxation</t>
  </si>
  <si>
    <t>Cash Dividend</t>
  </si>
  <si>
    <t>Stock Dividend</t>
  </si>
  <si>
    <t>Total Dividend</t>
  </si>
  <si>
    <t>Right Issue</t>
  </si>
  <si>
    <t>Number of Shareholders</t>
  </si>
  <si>
    <t>(Rs. in million)</t>
  </si>
  <si>
    <t>(In million)</t>
  </si>
  <si>
    <t>%</t>
  </si>
  <si>
    <t>CLOSE-END MUTUAL FUND</t>
  </si>
  <si>
    <t>HGFA</t>
  </si>
  <si>
    <t xml:space="preserve">HBL Growth Fund </t>
  </si>
  <si>
    <t>HIFA</t>
  </si>
  <si>
    <t>HBL Investment Fund</t>
  </si>
  <si>
    <t>TSMF</t>
  </si>
  <si>
    <t>Tri - Star Mutual Fund Limited</t>
  </si>
  <si>
    <t>NON-COMPLIANT SEGMENT</t>
  </si>
  <si>
    <t>INMF</t>
  </si>
  <si>
    <t>Investec Mutual Fund Limited</t>
  </si>
  <si>
    <t>PUDF</t>
  </si>
  <si>
    <t>Prudential Stocks Fund Limited</t>
  </si>
  <si>
    <t>MODARABAS</t>
  </si>
  <si>
    <t>BFMOD</t>
  </si>
  <si>
    <t>B. F.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</si>
  <si>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</si>
  <si>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</si>
  <si>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</si>
  <si>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</si>
  <si>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</si>
  <si>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</si>
  <si>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</si>
  <si>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</si>
  <si>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</si>
  <si>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</si>
  <si>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</si>
  <si>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</si>
  <si>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</si>
  <si>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</si>
  <si>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</si>
  <si>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</si>
  <si>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</si>
  <si>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</si>
  <si>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</si>
  <si>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</si>
  <si>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</si>
  <si>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</si>
  <si>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</si>
  <si>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</si>
  <si>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WASL</t>
  </si>
  <si>
    <r>
      <t xml:space="preserve">Wasl Mobility Modaraba </t>
    </r>
    <r>
      <rPr>
        <i/>
        <sz val="12"/>
        <rFont val="Calibri"/>
        <family val="2"/>
        <scheme val="minor"/>
      </rPr>
      <t>(First Prudential Modaraba)</t>
    </r>
  </si>
  <si>
    <t>PIM</t>
  </si>
  <si>
    <t>Popular Islamic Modaraba</t>
  </si>
  <si>
    <t>ORM</t>
  </si>
  <si>
    <t>Orient Rental Modaraba</t>
  </si>
  <si>
    <t>OLPM</t>
  </si>
  <si>
    <t>OLP Modaraba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</si>
  <si>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</si>
  <si>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</si>
  <si>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</si>
  <si>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</si>
  <si>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</si>
  <si>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</si>
  <si>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</si>
  <si>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</si>
  <si>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FNBM</t>
  </si>
  <si>
    <t>First National Bank Modaraba</t>
  </si>
  <si>
    <t>LEASING COMPANIES</t>
  </si>
  <si>
    <t>GRYL</t>
  </si>
  <si>
    <t>Grays Leasing Limited</t>
  </si>
  <si>
    <t>PGLC</t>
  </si>
  <si>
    <t>Pak-Gulf Leasing Company Limited</t>
  </si>
  <si>
    <t>ENGL</t>
  </si>
  <si>
    <t>English Leasing Limited</t>
  </si>
  <si>
    <t>PICL</t>
  </si>
  <si>
    <t>Pakistan Industrial &amp; Commercial Leasing Limited</t>
  </si>
  <si>
    <t>SLCL</t>
  </si>
  <si>
    <t>Security Leasing Corporation Limited</t>
  </si>
  <si>
    <t>SLL</t>
  </si>
  <si>
    <t>SME Leasing Limited</t>
  </si>
  <si>
    <t>SPLC</t>
  </si>
  <si>
    <t xml:space="preserve">Saudi Pak Consultancy Company Limited </t>
  </si>
  <si>
    <t>INVESTMENT BANKS / INVESTMENT COMPANIES / SECURITIES COMPANIES</t>
  </si>
  <si>
    <t>786 Investments Limited</t>
  </si>
  <si>
    <t>AHL</t>
  </si>
  <si>
    <t>Arif Habib Limited</t>
  </si>
  <si>
    <t>AKDSL</t>
  </si>
  <si>
    <t xml:space="preserve">AKD Securities Limited </t>
  </si>
  <si>
    <t>AMBL</t>
  </si>
  <si>
    <t>Apna Microfinance Bank Limited</t>
  </si>
  <si>
    <t>CYAN</t>
  </si>
  <si>
    <t>Cyan Limited</t>
  </si>
  <si>
    <t>CASH</t>
  </si>
  <si>
    <t>CALCORP Limited</t>
  </si>
  <si>
    <t>DEL</t>
  </si>
  <si>
    <t>Dawood Equities Limited</t>
  </si>
  <si>
    <t>ENGROH</t>
  </si>
  <si>
    <r>
      <t>Engro Holdings Limited</t>
    </r>
    <r>
      <rPr>
        <i/>
        <sz val="12"/>
        <rFont val="Calibri"/>
        <family val="2"/>
        <scheme val="minor"/>
      </rPr>
      <t xml:space="preserve"> (Dawood Hercules Corporation Ltd.)</t>
    </r>
  </si>
  <si>
    <t>DHPL</t>
  </si>
  <si>
    <t>DH Partners Limited</t>
  </si>
  <si>
    <t>DLL</t>
  </si>
  <si>
    <t>Dawood Lawrencepur Limited</t>
  </si>
  <si>
    <t>IMS</t>
  </si>
  <si>
    <t xml:space="preserve">Intermarket Securities Limited 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</si>
  <si>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</si>
  <si>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</si>
  <si>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</si>
  <si>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</si>
  <si>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</si>
  <si>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</si>
  <si>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FDPL</t>
  </si>
  <si>
    <t xml:space="preserve">First Dawood Properties Limited </t>
  </si>
  <si>
    <t>FNEL</t>
  </si>
  <si>
    <t>First National Equities Limited</t>
  </si>
  <si>
    <t>ICIBL</t>
  </si>
  <si>
    <t>Invest Capital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</si>
  <si>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</si>
  <si>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</si>
  <si>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</si>
  <si>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</si>
  <si>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</si>
  <si>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</si>
  <si>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LSECL</t>
  </si>
  <si>
    <t>LSE Capital Limited</t>
  </si>
  <si>
    <t>LSEFSL</t>
  </si>
  <si>
    <t>LSE Financial Services Limited</t>
  </si>
  <si>
    <t>LSEVL</t>
  </si>
  <si>
    <t>LSE Ventures Limited</t>
  </si>
  <si>
    <t>MCBIM</t>
  </si>
  <si>
    <t>MCB Investment Management Limited</t>
  </si>
  <si>
    <t>NEXT</t>
  </si>
  <si>
    <t>Next Capital Limited</t>
  </si>
  <si>
    <t>OLPL</t>
  </si>
  <si>
    <t>OLP Financial Services Pakistan Limited</t>
  </si>
  <si>
    <t>PIAHCLA</t>
  </si>
  <si>
    <t>PIA Holding Company Limited "A"</t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</si>
  <si>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</si>
  <si>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</si>
  <si>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</si>
  <si>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</si>
  <si>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</si>
  <si>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</si>
  <si>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</si>
  <si>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</si>
  <si>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FCEL</t>
  </si>
  <si>
    <t>First Capital Equities Limited</t>
  </si>
  <si>
    <t>IML</t>
  </si>
  <si>
    <t xml:space="preserve">Imperial Limited </t>
  </si>
  <si>
    <t>PASL</t>
  </si>
  <si>
    <t>Pervez Ahmed Consultancy Services Limited</t>
  </si>
  <si>
    <t>PRIB</t>
  </si>
  <si>
    <t>Prudential Investment Bank Limited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</si>
  <si>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</si>
  <si>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</si>
  <si>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</si>
  <si>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</si>
  <si>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</si>
  <si>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</si>
  <si>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</si>
  <si>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</si>
  <si>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</si>
  <si>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</si>
  <si>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</si>
  <si>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</si>
  <si>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</si>
  <si>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</si>
  <si>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</si>
  <si>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</si>
  <si>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</si>
  <si>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</si>
  <si>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</si>
  <si>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</si>
  <si>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</si>
  <si>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</si>
  <si>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</si>
  <si>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</si>
  <si>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</si>
  <si>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</si>
  <si>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</si>
  <si>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</si>
  <si>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</si>
  <si>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</si>
  <si>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</si>
  <si>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</si>
  <si>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</si>
  <si>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</si>
  <si>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Ltd.</t>
  </si>
  <si>
    <t>BML</t>
  </si>
  <si>
    <t>Bank Makramah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</si>
  <si>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</si>
  <si>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</si>
  <si>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</si>
  <si>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</si>
  <si>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</si>
  <si>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</si>
  <si>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</si>
  <si>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</si>
  <si>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</si>
  <si>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ALAC</t>
  </si>
  <si>
    <t>Askari Life Assurance Company Limited</t>
  </si>
  <si>
    <t>ALIFE</t>
  </si>
  <si>
    <t>Adamjee Life Assurance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</si>
  <si>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</si>
  <si>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</si>
  <si>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</si>
  <si>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</si>
  <si>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</si>
  <si>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</si>
  <si>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</si>
  <si>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</si>
  <si>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</si>
  <si>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</si>
  <si>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</si>
  <si>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</si>
  <si>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</si>
  <si>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</si>
  <si>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</si>
  <si>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</si>
  <si>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</si>
  <si>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</si>
  <si>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</si>
  <si>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</si>
  <si>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</si>
  <si>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</si>
  <si>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</si>
  <si>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</si>
  <si>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PAKQATAR</t>
  </si>
  <si>
    <t>Pak Qatar Family Takaful Limited</t>
  </si>
  <si>
    <t>PAKRI</t>
  </si>
  <si>
    <t>Pakistan Reinsurance Company Limited</t>
  </si>
  <si>
    <t>PKGI</t>
  </si>
  <si>
    <t>The Pakistan General Insurance Company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</si>
  <si>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</si>
  <si>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</si>
  <si>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</si>
  <si>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</si>
  <si>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</si>
  <si>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</si>
  <si>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</si>
  <si>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</si>
  <si>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TPLL</t>
  </si>
  <si>
    <r>
      <rPr>
        <sz val="12"/>
        <rFont val="Calibri"/>
        <family val="2"/>
        <scheme val="minor"/>
      </rPr>
      <t xml:space="preserve">TPL Life Insurance Limited  </t>
    </r>
    <r>
      <rPr>
        <i/>
        <sz val="12"/>
        <rFont val="Calibri"/>
        <family val="2"/>
        <scheme val="minor"/>
      </rPr>
      <t>(Dar Es Salaam Textile Mills Limited)</t>
    </r>
  </si>
  <si>
    <t>UNIC</t>
  </si>
  <si>
    <t>The United Insurance Company of Pakistan Limited</t>
  </si>
  <si>
    <t>UVIC</t>
  </si>
  <si>
    <t>The Universal Insurance Company Limited</t>
  </si>
  <si>
    <t>BIIC</t>
  </si>
  <si>
    <t>Business &amp; Industrial Insurance Company Limited</t>
  </si>
  <si>
    <t>PIL</t>
  </si>
  <si>
    <t>PICIC Insurance Limited</t>
  </si>
  <si>
    <t>PRIC</t>
  </si>
  <si>
    <t>Progressive Insurance Company Limited</t>
  </si>
  <si>
    <t>SICL</t>
  </si>
  <si>
    <r>
      <t xml:space="preserve">Standard Worldwide Limited </t>
    </r>
    <r>
      <rPr>
        <i/>
        <sz val="12"/>
        <rFont val="Calibri"/>
        <family val="2"/>
        <scheme val="minor"/>
      </rPr>
      <t>(Standard Insurance Company Limited)</t>
    </r>
  </si>
  <si>
    <t>SSIC</t>
  </si>
  <si>
    <t>Silver Star Insurance Company Limited</t>
  </si>
  <si>
    <t>REAL ESTATE INVESTMENT TRUST</t>
  </si>
  <si>
    <t>DCR</t>
  </si>
  <si>
    <t>Dolmen City REIT</t>
  </si>
  <si>
    <t>GRR</t>
  </si>
  <si>
    <t>Globe Residency REIT</t>
  </si>
  <si>
    <t>IREIT</t>
  </si>
  <si>
    <t>Image REIT</t>
  </si>
  <si>
    <t>TPLRF1</t>
  </si>
  <si>
    <t>TPL REIT Fund I</t>
  </si>
  <si>
    <t>TEXTILE SPINNING</t>
  </si>
  <si>
    <t>AATM</t>
  </si>
  <si>
    <t>Ali Asghar Textile Mills Limited</t>
  </si>
  <si>
    <t>ARCTM</t>
  </si>
  <si>
    <t xml:space="preserve">Arctic Textile Mills Limited </t>
  </si>
  <si>
    <t>AWTX</t>
  </si>
  <si>
    <t>Allawasaya Textile &amp; Finishing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</si>
  <si>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</si>
  <si>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</si>
  <si>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</si>
  <si>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</si>
  <si>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</si>
  <si>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</si>
  <si>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DINT</t>
  </si>
  <si>
    <t>Din Textile Mills Limited</t>
  </si>
  <si>
    <t>DMTX</t>
  </si>
  <si>
    <r>
      <t xml:space="preserve">D.M. Corporation Limited  </t>
    </r>
    <r>
      <rPr>
        <i/>
        <sz val="12"/>
        <rFont val="Calibri"/>
        <family val="2"/>
        <scheme val="minor"/>
      </rPr>
      <t>(D. M. Textile Mills Limited)</t>
    </r>
  </si>
  <si>
    <t>DSIL</t>
  </si>
  <si>
    <t>D. S. Industries Limited</t>
  </si>
  <si>
    <t>ELCM</t>
  </si>
  <si>
    <t>Elahi Cotton Mills Limited</t>
  </si>
  <si>
    <t>ELSM</t>
  </si>
  <si>
    <t>Ellcot Spinning Mills Limited</t>
  </si>
  <si>
    <t>GADT</t>
  </si>
  <si>
    <t>Gadoon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</si>
  <si>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</si>
  <si>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</si>
  <si>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</si>
  <si>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</si>
  <si>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</si>
  <si>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</si>
  <si>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JDMT</t>
  </si>
  <si>
    <t>Janana De Malucho Textile Mills Limited</t>
  </si>
  <si>
    <t>JKSM</t>
  </si>
  <si>
    <t>J. K. Spinning Mills Limited</t>
  </si>
  <si>
    <t>KOHTM</t>
  </si>
  <si>
    <t>Kohat Textile Mills Limited</t>
  </si>
  <si>
    <t>KOSM</t>
  </si>
  <si>
    <t>Kohinoor Spinning Mills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</si>
  <si>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</si>
  <si>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</si>
  <si>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</si>
  <si>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</si>
  <si>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</si>
  <si>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</si>
  <si>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OML</t>
  </si>
  <si>
    <t>Olympia Mills Limited</t>
  </si>
  <si>
    <t>PRET</t>
  </si>
  <si>
    <t>Premium Textile Mills Limited</t>
  </si>
  <si>
    <t>RCML</t>
  </si>
  <si>
    <t>Reliance Cotton Spinning Mills Limited</t>
  </si>
  <si>
    <t>SAIF</t>
  </si>
  <si>
    <t>Saif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</si>
  <si>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</si>
  <si>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</si>
  <si>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</si>
  <si>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</si>
  <si>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</si>
  <si>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</si>
  <si>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SNAI</t>
  </si>
  <si>
    <t>Sana Industries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</si>
  <si>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</si>
  <si>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</si>
  <si>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</si>
  <si>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</si>
  <si>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</si>
  <si>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</si>
  <si>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</si>
  <si>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</si>
  <si>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AMTEX</t>
  </si>
  <si>
    <t>Amtex Limited</t>
  </si>
  <si>
    <t>ANNT</t>
  </si>
  <si>
    <t>Annoor Textile Mills Limited</t>
  </si>
  <si>
    <t>APOT</t>
  </si>
  <si>
    <t>Apollo Textile Mills Limited</t>
  </si>
  <si>
    <t>ASTM</t>
  </si>
  <si>
    <t>Asim Textile Mills Limited</t>
  </si>
  <si>
    <t>AZMT</t>
  </si>
  <si>
    <t>Azmat Textile Mills Limited</t>
  </si>
  <si>
    <t>DFSM</t>
  </si>
  <si>
    <t>Dewan Farooque Spinning Mills Limited</t>
  </si>
  <si>
    <t>DKTM</t>
  </si>
  <si>
    <t>Dewan Khalid Textile Mills Limited</t>
  </si>
  <si>
    <t>DMTM</t>
  </si>
  <si>
    <t>Dewan Mushtaq Textile Mills Limited</t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</si>
  <si>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</si>
  <si>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</si>
  <si>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</si>
  <si>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</si>
  <si>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</si>
  <si>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</si>
  <si>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</si>
  <si>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</si>
  <si>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</si>
  <si>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</si>
  <si>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</si>
  <si>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</si>
  <si>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</si>
  <si>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</si>
  <si>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HIRAT</t>
  </si>
  <si>
    <t>Hira Textile Mills Limited</t>
  </si>
  <si>
    <t>HMIM</t>
  </si>
  <si>
    <t>Haji Mohammad Ismail Mills Limited</t>
  </si>
  <si>
    <t>JATM</t>
  </si>
  <si>
    <t>J. A. Textile Mills Limited</t>
  </si>
  <si>
    <t>KSTM</t>
  </si>
  <si>
    <t>Khalid Siraj Textile Mills Limited</t>
  </si>
  <si>
    <t>NCML</t>
  </si>
  <si>
    <t>Nazir Cotton Mills Limited</t>
  </si>
  <si>
    <t>QTECH</t>
  </si>
  <si>
    <t>Quantu Data Technologies Limited</t>
  </si>
  <si>
    <t>RUBY</t>
  </si>
  <si>
    <t>Ruby Textile Mills Limited</t>
  </si>
  <si>
    <t>SANE</t>
  </si>
  <si>
    <t>Salman Noman Enterprises Limited</t>
  </si>
  <si>
    <t>SLYT</t>
  </si>
  <si>
    <t>Sally Textile Mills Limited</t>
  </si>
  <si>
    <t>SSML</t>
  </si>
  <si>
    <t>Saritow Spinning Mills Limited</t>
  </si>
  <si>
    <t>ZUMA</t>
  </si>
  <si>
    <r>
      <t xml:space="preserve">Zuma Resources Limited </t>
    </r>
    <r>
      <rPr>
        <i/>
        <sz val="12"/>
        <rFont val="Calibri"/>
        <family val="2"/>
        <scheme val="minor"/>
      </rPr>
      <t>(Bilal Fibres Limited)</t>
    </r>
  </si>
  <si>
    <t>TEXTILE WEAVING</t>
  </si>
  <si>
    <t>ASHT</t>
  </si>
  <si>
    <t>Ashfaq Textile Mills Limited</t>
  </si>
  <si>
    <t>ICCI</t>
  </si>
  <si>
    <t>ICC Industries Limited</t>
  </si>
  <si>
    <t>PRWM</t>
  </si>
  <si>
    <t>Prosperity Weaving Mills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</si>
  <si>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</si>
  <si>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</si>
  <si>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</si>
  <si>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</si>
  <si>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</si>
  <si>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</si>
  <si>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</si>
  <si>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</si>
  <si>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MOHE</t>
  </si>
  <si>
    <t>Mohib Exports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</si>
  <si>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</si>
  <si>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</si>
  <si>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</si>
  <si>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</si>
  <si>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</si>
  <si>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</si>
  <si>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</si>
  <si>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</si>
  <si>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</si>
  <si>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ANTM</t>
  </si>
  <si>
    <t>AN Textile Mills Limited</t>
  </si>
  <si>
    <t>BHAT</t>
  </si>
  <si>
    <t>Bhanero Textile Mills Limited</t>
  </si>
  <si>
    <t>BTL</t>
  </si>
  <si>
    <t>Blessed Textiles Limited</t>
  </si>
  <si>
    <t>CRTM</t>
  </si>
  <si>
    <t>The Crescent Textile Mills Limited</t>
  </si>
  <si>
    <t>CHBL</t>
  </si>
  <si>
    <t>Chenab Limited</t>
  </si>
  <si>
    <t>FASM</t>
  </si>
  <si>
    <t>Faisal Spinning Mills Limited</t>
  </si>
  <si>
    <t>FML</t>
  </si>
  <si>
    <t xml:space="preserve">Feroze1888 Mills Limited </t>
  </si>
  <si>
    <t>FZCM</t>
  </si>
  <si>
    <t>Fazal Cloth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</si>
  <si>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</si>
  <si>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</si>
  <si>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</si>
  <si>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</si>
  <si>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</si>
  <si>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</si>
  <si>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</si>
  <si>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</si>
  <si>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ILP</t>
  </si>
  <si>
    <t>Interloop Limited</t>
  </si>
  <si>
    <t>INKL</t>
  </si>
  <si>
    <t>International Knitwear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</si>
  <si>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</si>
  <si>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</si>
  <si>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</si>
  <si>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</si>
  <si>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</si>
  <si>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</si>
  <si>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</si>
  <si>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</si>
  <si>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</si>
  <si>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</si>
  <si>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</si>
  <si>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</si>
  <si>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MSOTPS</t>
  </si>
  <si>
    <t>Masood Textile Mills Limited - Preference Shares</t>
  </si>
  <si>
    <t>NCL</t>
  </si>
  <si>
    <t>Nishat (Chunian) Limited</t>
  </si>
  <si>
    <t>NML</t>
  </si>
  <si>
    <t>Nishat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</si>
  <si>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</si>
  <si>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</si>
  <si>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</si>
  <si>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</si>
  <si>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</si>
  <si>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</si>
  <si>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</si>
  <si>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</si>
  <si>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STML</t>
  </si>
  <si>
    <t>Shams Textile Mills Limited</t>
  </si>
  <si>
    <t>STYLERS</t>
  </si>
  <si>
    <t>Stylers International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</si>
  <si>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</si>
  <si>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</si>
  <si>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</si>
  <si>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</si>
  <si>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</si>
  <si>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</si>
  <si>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ARUJ</t>
  </si>
  <si>
    <t>Aruj Industries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</si>
  <si>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</si>
  <si>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</si>
  <si>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</si>
  <si>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</si>
  <si>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</si>
  <si>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</si>
  <si>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ITANZ</t>
  </si>
  <si>
    <r>
      <t xml:space="preserve">Itanz Technologies Limited </t>
    </r>
    <r>
      <rPr>
        <i/>
        <sz val="12"/>
        <rFont val="Calibri"/>
        <family val="2"/>
        <scheme val="minor"/>
      </rPr>
      <t>(Zahur Cotton Mills Limited)</t>
    </r>
  </si>
  <si>
    <t>JUBS</t>
  </si>
  <si>
    <t>Jubilee Spinning &amp; Weaving Mills Limited</t>
  </si>
  <si>
    <t>KAKL</t>
  </si>
  <si>
    <t>Kaiser Arts &amp; Krafts Limited</t>
  </si>
  <si>
    <t>MFTM</t>
  </si>
  <si>
    <t>Mohammed Farooq Textile Mills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</si>
  <si>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</si>
  <si>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</si>
  <si>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</si>
  <si>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</si>
  <si>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</si>
  <si>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</si>
  <si>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QUET</t>
  </si>
  <si>
    <t>Quetta Textile Mills Limited</t>
  </si>
  <si>
    <t>SCHT</t>
  </si>
  <si>
    <t>Schon Textiles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</si>
  <si>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</si>
  <si>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</si>
  <si>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</si>
  <si>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</si>
  <si>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</si>
  <si>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</si>
  <si>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WOOLLEN</t>
  </si>
  <si>
    <t>BNWM</t>
  </si>
  <si>
    <t>Bannu Woollen Mills Limited</t>
  </si>
  <si>
    <t>SYNTHETIC &amp; RAYON</t>
  </si>
  <si>
    <t>GATI</t>
  </si>
  <si>
    <t>Gatron (Industries) Limited</t>
  </si>
  <si>
    <t>IBFL</t>
  </si>
  <si>
    <t>Ibrahim Fibres Limited</t>
  </si>
  <si>
    <t>IMAGE</t>
  </si>
  <si>
    <t>Image Pakistan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</si>
  <si>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</si>
  <si>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</si>
  <si>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</si>
  <si>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</si>
  <si>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</si>
  <si>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</si>
  <si>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AASM</t>
  </si>
  <si>
    <t>Al- Abid Silk Mills Limited</t>
  </si>
  <si>
    <t>DSFL</t>
  </si>
  <si>
    <t>Dewan Salman Fibre Limited</t>
  </si>
  <si>
    <t>NAFL</t>
  </si>
  <si>
    <t>National Fibres Limited</t>
  </si>
  <si>
    <t>SGABL</t>
  </si>
  <si>
    <r>
      <t xml:space="preserve">SG Allied Business Limited  </t>
    </r>
    <r>
      <rPr>
        <i/>
        <sz val="12"/>
        <rFont val="Calibri"/>
        <family val="2"/>
        <scheme val="minor"/>
      </rPr>
      <t>(S. G. Fibres)</t>
    </r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</si>
  <si>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</si>
  <si>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</si>
  <si>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</si>
  <si>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</si>
  <si>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</si>
  <si>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</si>
  <si>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</si>
  <si>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</si>
  <si>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</si>
  <si>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</si>
  <si>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AGSML</t>
  </si>
  <si>
    <t>Abdullah Shah Ghazi Sugar Mills Limited</t>
  </si>
  <si>
    <t>ANSM</t>
  </si>
  <si>
    <t>Ansari Sugar Mills Limited</t>
  </si>
  <si>
    <t>ALNRS</t>
  </si>
  <si>
    <t>Al-Noor Sugar Mills Limited</t>
  </si>
  <si>
    <t>BAFS</t>
  </si>
  <si>
    <t>Baba Farid Sugar Mills Limited</t>
  </si>
  <si>
    <t>CHAS</t>
  </si>
  <si>
    <t>Chashma Sugar Mills Limited</t>
  </si>
  <si>
    <t>FRSM</t>
  </si>
  <si>
    <t>Faran Sugar Mills Limited</t>
  </si>
  <si>
    <t>HABSM</t>
  </si>
  <si>
    <t>Habib Sugar Mills Limited</t>
  </si>
  <si>
    <t>HRPL</t>
  </si>
  <si>
    <t>Habib Rice Products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</si>
  <si>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</si>
  <si>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</si>
  <si>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</si>
  <si>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</si>
  <si>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</si>
  <si>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</si>
  <si>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</si>
  <si>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</si>
  <si>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</si>
  <si>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</si>
  <si>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</si>
  <si>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</si>
  <si>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</si>
  <si>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</si>
  <si>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</si>
  <si>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</si>
  <si>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</si>
  <si>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</si>
  <si>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</si>
  <si>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</si>
  <si>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</si>
  <si>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</si>
  <si>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TCORP</t>
  </si>
  <si>
    <t>Tariq Corporation Limited</t>
  </si>
  <si>
    <t>TCORPCPS</t>
  </si>
  <si>
    <t>Tariq Corporation Limited  (Preference Shares)</t>
  </si>
  <si>
    <t>TICL</t>
  </si>
  <si>
    <t>The Thal Industries Corporation Limited</t>
  </si>
  <si>
    <t>TSML</t>
  </si>
  <si>
    <t>Tandlianwala Sugar Mills Limited</t>
  </si>
  <si>
    <t>DWSM</t>
  </si>
  <si>
    <t>Dewan Sugar Mills Limited</t>
  </si>
  <si>
    <t>HWQS</t>
  </si>
  <si>
    <t>Haseeb Waqas Sugar Mills Limited</t>
  </si>
  <si>
    <t>SKRS</t>
  </si>
  <si>
    <t>Sakrand Sugar Mills Limited</t>
  </si>
  <si>
    <t>SML</t>
  </si>
  <si>
    <t>Shakarganj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</si>
  <si>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</si>
  <si>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</si>
  <si>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</si>
  <si>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</si>
  <si>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</si>
  <si>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</si>
  <si>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</si>
  <si>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</si>
  <si>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</si>
  <si>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</si>
  <si>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</si>
  <si>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</si>
  <si>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</si>
  <si>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</si>
  <si>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</si>
  <si>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</si>
  <si>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</si>
  <si>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</si>
  <si>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</si>
  <si>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</si>
  <si>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</si>
  <si>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</si>
  <si>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</si>
  <si>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</si>
  <si>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</si>
  <si>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</si>
  <si>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</si>
  <si>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</si>
  <si>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</si>
  <si>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</si>
  <si>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</si>
  <si>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POWERPS</t>
  </si>
  <si>
    <t>Power Cement Limited  (Preference Shares)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</si>
  <si>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</si>
  <si>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</si>
  <si>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</si>
  <si>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</si>
  <si>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</si>
  <si>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</si>
  <si>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ZELP</t>
  </si>
  <si>
    <t>Zeal-Pak Cement Factory Limited</t>
  </si>
  <si>
    <t>PROPERTY</t>
  </si>
  <si>
    <t>BRRG</t>
  </si>
  <si>
    <t>B.R.R. Guardian Limited</t>
  </si>
  <si>
    <t>HUSI</t>
  </si>
  <si>
    <t>Husein Industries Limited</t>
  </si>
  <si>
    <t>JVDC</t>
  </si>
  <si>
    <t>Javedan Corporation Limited</t>
  </si>
  <si>
    <t>JVDCPS</t>
  </si>
  <si>
    <t>Javedan Corporation Limited - Preference Shares</t>
  </si>
  <si>
    <t>PACE</t>
  </si>
  <si>
    <t>Pace (Pakistan) Limited</t>
  </si>
  <si>
    <t>TPLP</t>
  </si>
  <si>
    <t>TPL Properties Limited</t>
  </si>
  <si>
    <t>TOBACCO</t>
  </si>
  <si>
    <t>KHTC</t>
  </si>
  <si>
    <t>Khyber Tobacco Company Limited</t>
  </si>
  <si>
    <t>PAKT</t>
  </si>
  <si>
    <t>Pakistan Tobacco Company Limited</t>
  </si>
  <si>
    <t>REFINERY</t>
  </si>
  <si>
    <t>ATRL</t>
  </si>
  <si>
    <t>Attock Refinery Limited</t>
  </si>
  <si>
    <t>CNERGY</t>
  </si>
  <si>
    <t>Cnergyico PK Limited</t>
  </si>
  <si>
    <t>NRL</t>
  </si>
  <si>
    <t>National Refinery Limited</t>
  </si>
  <si>
    <t>PRL</t>
  </si>
  <si>
    <t>Pakistan Refinery Limited</t>
  </si>
  <si>
    <t>POWER GENERATION &amp; DISTRIBUTION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</si>
  <si>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</si>
  <si>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</si>
  <si>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</si>
  <si>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</si>
  <si>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</si>
  <si>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</si>
  <si>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</si>
  <si>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</si>
  <si>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</si>
  <si>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</si>
  <si>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</si>
  <si>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</si>
  <si>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KOHP</t>
  </si>
  <si>
    <t>Kohinoor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</si>
  <si>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</si>
  <si>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</si>
  <si>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</si>
  <si>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</si>
  <si>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</si>
  <si>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</si>
  <si>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</si>
  <si>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</si>
  <si>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</si>
  <si>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</si>
  <si>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SGPL</t>
  </si>
  <si>
    <t>S. G. Power Limited</t>
  </si>
  <si>
    <t>SPWL</t>
  </si>
  <si>
    <t>Saif Power Limited</t>
  </si>
  <si>
    <t>TSPL</t>
  </si>
  <si>
    <t>Tri - Star Power Limited</t>
  </si>
  <si>
    <t>OIL &amp; GAS MARKETING COMPANIES</t>
  </si>
  <si>
    <t>APL</t>
  </si>
  <si>
    <t>Attock Petroleum Limited</t>
  </si>
  <si>
    <t>BPL</t>
  </si>
  <si>
    <t>Burshane LPG (Pakistan) Limited</t>
  </si>
  <si>
    <t>HTL</t>
  </si>
  <si>
    <t>Hi-Tech Lubricants Limited</t>
  </si>
  <si>
    <t>PSO</t>
  </si>
  <si>
    <t>Pakistan State Oil Company Limited</t>
  </si>
  <si>
    <t>WAFI</t>
  </si>
  <si>
    <r>
      <t xml:space="preserve">Wafi Energy Pakistan Limied </t>
    </r>
    <r>
      <rPr>
        <i/>
        <sz val="12"/>
        <rFont val="Calibri"/>
        <family val="2"/>
        <scheme val="minor"/>
      </rPr>
      <t>(Shell Pakistan Limited)</t>
    </r>
  </si>
  <si>
    <t>SNGP</t>
  </si>
  <si>
    <t>Sui Northern Gas Pipelines Limited</t>
  </si>
  <si>
    <t>SSGC</t>
  </si>
  <si>
    <t>Sui Southern Gas Company Limited</t>
  </si>
  <si>
    <t>HASCOL</t>
  </si>
  <si>
    <t>Hascol Petroleum Limited</t>
  </si>
  <si>
    <t>OBOY</t>
  </si>
  <si>
    <r>
      <t xml:space="preserve">Oilboy Energy Limited  </t>
    </r>
    <r>
      <rPr>
        <i/>
        <sz val="12"/>
        <rFont val="Calibri"/>
        <family val="2"/>
        <scheme val="minor"/>
      </rPr>
      <t>(Drekkar Kingsway Limited)</t>
    </r>
  </si>
  <si>
    <t>OIL &amp; GAS EXPLORATION COMPANIES</t>
  </si>
  <si>
    <t>MARI</t>
  </si>
  <si>
    <t>Mari Energies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</si>
  <si>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</si>
  <si>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</si>
  <si>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</si>
  <si>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</si>
  <si>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</si>
  <si>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</si>
  <si>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</si>
  <si>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AGHA</t>
  </si>
  <si>
    <t>Agha Steel Industries Limited</t>
  </si>
  <si>
    <t>ASL</t>
  </si>
  <si>
    <t>Aisha Steel Mills Limited</t>
  </si>
  <si>
    <t>ASTL</t>
  </si>
  <si>
    <t>Amreli Steels Limited</t>
  </si>
  <si>
    <t>BCL</t>
  </si>
  <si>
    <t>Bolan Castings Limited</t>
  </si>
  <si>
    <t>BECO</t>
  </si>
  <si>
    <t>Beco Steel Limited</t>
  </si>
  <si>
    <t>CSAP</t>
  </si>
  <si>
    <t>Crescent Steel &amp; Allied Products Limited</t>
  </si>
  <si>
    <t>DADX</t>
  </si>
  <si>
    <t>Dadex Eternit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</si>
  <si>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</si>
  <si>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</si>
  <si>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</si>
  <si>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</si>
  <si>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</si>
  <si>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</si>
  <si>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</si>
  <si>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</si>
  <si>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</si>
  <si>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</si>
  <si>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</si>
  <si>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</si>
  <si>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MUGHALC</t>
  </si>
  <si>
    <r>
      <t>Mughal Iron &amp; Steel Industries Limited -</t>
    </r>
    <r>
      <rPr>
        <i/>
        <sz val="12"/>
        <rFont val="Calibri"/>
        <family val="2"/>
        <scheme val="minor"/>
      </rPr>
      <t xml:space="preserve"> Class "C" Shares</t>
    </r>
  </si>
  <si>
    <t>DSL</t>
  </si>
  <si>
    <t>Dost Steels Limited</t>
  </si>
  <si>
    <t>HSPI</t>
  </si>
  <si>
    <t>Huffaz Seamless Pipe Industries Limited</t>
  </si>
  <si>
    <t>PECO</t>
  </si>
  <si>
    <t>Pakistan Engineering Company Limited</t>
  </si>
  <si>
    <t>AUTOMOBILE ASSEMBLER</t>
  </si>
  <si>
    <t>AGTL</t>
  </si>
  <si>
    <t>Al-Ghazi Tractors Limited</t>
  </si>
  <si>
    <t>ATLH</t>
  </si>
  <si>
    <t>Atlas Honda Limited</t>
  </si>
  <si>
    <t>GHNI</t>
  </si>
  <si>
    <t>Ghandhara Industries Limited</t>
  </si>
  <si>
    <t>GAL</t>
  </si>
  <si>
    <t xml:space="preserve">Ghandhara Automobiles Limited  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</si>
  <si>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</si>
  <si>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</si>
  <si>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</si>
  <si>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</si>
  <si>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</si>
  <si>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</si>
  <si>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</si>
  <si>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</si>
  <si>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SAZEW</t>
  </si>
  <si>
    <t>Sazgar Engineering Works Limited</t>
  </si>
  <si>
    <t>DFML</t>
  </si>
  <si>
    <t>Dewan Farooque Motors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</si>
  <si>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</si>
  <si>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</si>
  <si>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</si>
  <si>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</si>
  <si>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</si>
  <si>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</si>
  <si>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</si>
  <si>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</si>
  <si>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</si>
  <si>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</si>
  <si>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 xml:space="preserve">Ghandhara Tyre &amp; Rubber Company Limited </t>
  </si>
  <si>
    <t>LOADS</t>
  </si>
  <si>
    <t>Loads Limited</t>
  </si>
  <si>
    <t>PTL</t>
  </si>
  <si>
    <t>Panther Tyres Limited</t>
  </si>
  <si>
    <t>TBL</t>
  </si>
  <si>
    <t>Treet Battery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</si>
  <si>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</si>
  <si>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</si>
  <si>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</si>
  <si>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</si>
  <si>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</si>
  <si>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</si>
  <si>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CABLE &amp; ELECTRICAL GOODS</t>
  </si>
  <si>
    <t>EMCO</t>
  </si>
  <si>
    <t>Emco Industries Limited</t>
  </si>
  <si>
    <t>FCL</t>
  </si>
  <si>
    <t>Fast Cables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</si>
  <si>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</si>
  <si>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</si>
  <si>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</si>
  <si>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</si>
  <si>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</si>
  <si>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</si>
  <si>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</si>
  <si>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t xml:space="preserve">Waves Corporation Limited </t>
  </si>
  <si>
    <t>WAVESAPP</t>
  </si>
  <si>
    <t xml:space="preserve">Waves Home Appliances Limited </t>
  </si>
  <si>
    <t>TRANSPORT</t>
  </si>
  <si>
    <t>BLUEX</t>
  </si>
  <si>
    <t>Blue-Ex Limited</t>
  </si>
  <si>
    <t>CLVL</t>
  </si>
  <si>
    <t>Cordoba Logistics &amp; Ventures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</si>
  <si>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</si>
  <si>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</si>
  <si>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</si>
  <si>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</si>
  <si>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</si>
  <si>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</si>
  <si>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SLGL</t>
  </si>
  <si>
    <t>Secure Logistics Group Limited</t>
  </si>
  <si>
    <t>TECHNOLOGY &amp; COMMUNICATION</t>
  </si>
  <si>
    <t>AVN</t>
  </si>
  <si>
    <t>Avanceon Limited</t>
  </si>
  <si>
    <t>AIRLINK</t>
  </si>
  <si>
    <t>Air Link Communication Limited</t>
  </si>
  <si>
    <t>STL</t>
  </si>
  <si>
    <r>
      <t xml:space="preserve">Supernet Technologies Limited  </t>
    </r>
    <r>
      <rPr>
        <i/>
        <sz val="12"/>
        <rFont val="Calibri"/>
        <family val="2"/>
        <scheme val="minor"/>
      </rPr>
      <t>(Hallmark Company Limited)</t>
    </r>
  </si>
  <si>
    <t>HUMNL</t>
  </si>
  <si>
    <t>Hum Network Limited</t>
  </si>
  <si>
    <t>NETSOL</t>
  </si>
  <si>
    <t>NetSol Technologies Limited</t>
  </si>
  <si>
    <t>OCTOPUS</t>
  </si>
  <si>
    <t>Octopus Digital Limited</t>
  </si>
  <si>
    <t>PAKD</t>
  </si>
  <si>
    <t>Pak Datacom Limited</t>
  </si>
  <si>
    <t>PTC</t>
  </si>
  <si>
    <t>Pakistan Telecommunication Company Ltd.</t>
  </si>
  <si>
    <t>SYM</t>
  </si>
  <si>
    <t>Symmetry Group Limited</t>
  </si>
  <si>
    <t>SYS</t>
  </si>
  <si>
    <t>Systems Limited</t>
  </si>
  <si>
    <t>TPLT</t>
  </si>
  <si>
    <t>TPL Trakker Limited</t>
  </si>
  <si>
    <t>TELE</t>
  </si>
  <si>
    <t>Telecard Limited</t>
  </si>
  <si>
    <t>TPL</t>
  </si>
  <si>
    <t>TPL Corp. Limited</t>
  </si>
  <si>
    <t>TRG</t>
  </si>
  <si>
    <t>TRG Pakistan Limited</t>
  </si>
  <si>
    <t>WTL</t>
  </si>
  <si>
    <t>WorldCall Telecom Limited</t>
  </si>
  <si>
    <t>ZAL</t>
  </si>
  <si>
    <t>Zarea Limited</t>
  </si>
  <si>
    <t>MDTL</t>
  </si>
  <si>
    <t>Media Times Limited</t>
  </si>
  <si>
    <t>FERTILIZER</t>
  </si>
  <si>
    <t>AHCL</t>
  </si>
  <si>
    <t>Arif Habib Corporation Limited</t>
  </si>
  <si>
    <t>AGL</t>
  </si>
  <si>
    <t>Agritech Limited</t>
  </si>
  <si>
    <t>EFERT</t>
  </si>
  <si>
    <t>Engro Fertilizers Limited</t>
  </si>
  <si>
    <t>FATIMA</t>
  </si>
  <si>
    <t>Fatima Fertilizer Company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</si>
  <si>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</si>
  <si>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</si>
  <si>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</si>
  <si>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</si>
  <si>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</si>
  <si>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</si>
  <si>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</si>
  <si>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BFBIO</t>
  </si>
  <si>
    <t>BF Biosciences Limited</t>
  </si>
  <si>
    <t>CPHL</t>
  </si>
  <si>
    <t>Citi Pharma Limited</t>
  </si>
  <si>
    <t>FEROZ</t>
  </si>
  <si>
    <t>Ferozsons Laboratories Limited</t>
  </si>
  <si>
    <t>GLAXO</t>
  </si>
  <si>
    <t>GlaxoSmithKline Pakistan Limited</t>
  </si>
  <si>
    <t>HALEON</t>
  </si>
  <si>
    <r>
      <t xml:space="preserve">Haleon Pakistan Limited </t>
    </r>
    <r>
      <rPr>
        <i/>
        <sz val="12"/>
        <rFont val="Calibri"/>
        <family val="2"/>
        <scheme val="minor"/>
      </rPr>
      <t>(GlaxoSmithKline Consumer HealthCare)</t>
    </r>
  </si>
  <si>
    <t>HINOON</t>
  </si>
  <si>
    <t>Highnoon Laboratories Limited</t>
  </si>
  <si>
    <t>HPL</t>
  </si>
  <si>
    <r>
      <t xml:space="preserve">Hoechst Pakistan Limited </t>
    </r>
    <r>
      <rPr>
        <i/>
        <sz val="12"/>
        <rFont val="Calibri"/>
        <family val="2"/>
        <scheme val="minor"/>
      </rPr>
      <t>(Sanofi-Aventis Pakistan Limited)</t>
    </r>
  </si>
  <si>
    <t>IBLHL</t>
  </si>
  <si>
    <t>IBL Healthcare Limited</t>
  </si>
  <si>
    <t>LIVEN</t>
  </si>
  <si>
    <r>
      <t xml:space="preserve">Liven Pharma Limited </t>
    </r>
    <r>
      <rPr>
        <i/>
        <sz val="12"/>
        <rFont val="Calibri"/>
        <family val="2"/>
        <scheme val="minor"/>
      </rPr>
      <t>(Landmark Spinning Industries Limited)</t>
    </r>
  </si>
  <si>
    <t>MACTER</t>
  </si>
  <si>
    <t>Macter International Limited</t>
  </si>
  <si>
    <t>OTSU</t>
  </si>
  <si>
    <t>Otsuka Pakistan Limited</t>
  </si>
  <si>
    <t>SEARL</t>
  </si>
  <si>
    <t>The Searle Company Limited</t>
  </si>
  <si>
    <t>CHEMICAL</t>
  </si>
  <si>
    <t>ARPL</t>
  </si>
  <si>
    <t>Archroma Pakistan Limited</t>
  </si>
  <si>
    <t>BAPL</t>
  </si>
  <si>
    <t>Bawany Air Products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</si>
  <si>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</si>
  <si>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</si>
  <si>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</si>
  <si>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</si>
  <si>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</si>
  <si>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</si>
  <si>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</si>
  <si>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</si>
  <si>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</si>
  <si>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</si>
  <si>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</si>
  <si>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</si>
  <si>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</si>
  <si>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</si>
  <si>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EPCLPS</t>
  </si>
  <si>
    <r>
      <t>Engro Polymer &amp; Chemicals Limited</t>
    </r>
    <r>
      <rPr>
        <i/>
        <sz val="12"/>
        <rFont val="Calibri"/>
        <family val="2"/>
        <scheme val="minor"/>
      </rPr>
      <t xml:space="preserve"> (Preference Shares)</t>
    </r>
  </si>
  <si>
    <t>GCIL</t>
  </si>
  <si>
    <t>Ghani Chemical Industries Limited</t>
  </si>
  <si>
    <t>GCWL</t>
  </si>
  <si>
    <t>Ghani ChemWorld Limited</t>
  </si>
  <si>
    <t>GGL</t>
  </si>
  <si>
    <t xml:space="preserve">Ghani Global Holdings Limited </t>
  </si>
  <si>
    <t>LCI</t>
  </si>
  <si>
    <t>Lucky Core Industries Limited</t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</si>
  <si>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</si>
  <si>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</si>
  <si>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</si>
  <si>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</si>
  <si>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</si>
  <si>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</si>
  <si>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</si>
  <si>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</si>
  <si>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</si>
  <si>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</si>
  <si>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</si>
  <si>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</si>
  <si>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SARC</t>
  </si>
  <si>
    <t>Sardar Chemical Industries Limited</t>
  </si>
  <si>
    <t>SITC</t>
  </si>
  <si>
    <t>Sitara Chemical Industries Limited</t>
  </si>
  <si>
    <t>WAHN</t>
  </si>
  <si>
    <t>Wah Noble Chemicals Limited</t>
  </si>
  <si>
    <t>PPVC</t>
  </si>
  <si>
    <t>Pakistan PVC Limited</t>
  </si>
  <si>
    <t>SHCI</t>
  </si>
  <si>
    <t>Shaffi Chemical Industries Limited</t>
  </si>
  <si>
    <t>SPL</t>
  </si>
  <si>
    <t>Sitara Peroxide Limited</t>
  </si>
  <si>
    <t>PAPER, BOARD AND PACKAGING</t>
  </si>
  <si>
    <t>CEPB</t>
  </si>
  <si>
    <t>Century Paper &amp; Board Mills Limited</t>
  </si>
  <si>
    <t>CPPL</t>
  </si>
  <si>
    <t>Cherat Packaging Limited</t>
  </si>
  <si>
    <t>IPAK</t>
  </si>
  <si>
    <t>International Packaging Films Limited</t>
  </si>
  <si>
    <t>MACFL</t>
  </si>
  <si>
    <t>MACPAC Films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</si>
  <si>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</si>
  <si>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</si>
  <si>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</si>
  <si>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</si>
  <si>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</si>
  <si>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</si>
  <si>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</si>
  <si>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</si>
  <si>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</si>
  <si>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</si>
  <si>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SPEL</t>
  </si>
  <si>
    <r>
      <t xml:space="preserve">SPEL Limited </t>
    </r>
    <r>
      <rPr>
        <i/>
        <sz val="12"/>
        <rFont val="Calibri"/>
        <family val="2"/>
        <scheme val="minor"/>
      </rPr>
      <t>(Synthetic Products Enterprises Limited)</t>
    </r>
  </si>
  <si>
    <t>ABSON</t>
  </si>
  <si>
    <t>Abson Industries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</si>
  <si>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</si>
  <si>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</si>
  <si>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</si>
  <si>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</si>
  <si>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</si>
  <si>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</si>
  <si>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</si>
  <si>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SURAJ</t>
  </si>
  <si>
    <t>Suraj Ghee Industries Limited</t>
  </si>
  <si>
    <t>LEATHER &amp; TANNERIES</t>
  </si>
  <si>
    <t>BATA</t>
  </si>
  <si>
    <t>Bata Pakistan Limited</t>
  </si>
  <si>
    <t>LEUL</t>
  </si>
  <si>
    <t>Leather Up Limited</t>
  </si>
  <si>
    <t>PAKL</t>
  </si>
  <si>
    <t>Pak Leather Crafts Limited</t>
  </si>
  <si>
    <t>SGF</t>
  </si>
  <si>
    <t>Service Global Footwear Limited</t>
  </si>
  <si>
    <t>SRVI</t>
  </si>
  <si>
    <t>Service Industries Limited</t>
  </si>
  <si>
    <t>FIL</t>
  </si>
  <si>
    <t>Fateh Industries Limited</t>
  </si>
  <si>
    <t>FOOD &amp; PERSONAL CARE PRODUCTS</t>
  </si>
  <si>
    <t>BFAGRO</t>
  </si>
  <si>
    <t>Barkat Frision Agro Limited</t>
  </si>
  <si>
    <t>BBFL</t>
  </si>
  <si>
    <t>Big Bird Foods Limited</t>
  </si>
  <si>
    <t>BNL</t>
  </si>
  <si>
    <t>Bunny's Limited</t>
  </si>
  <si>
    <t>CLOV</t>
  </si>
  <si>
    <t>Clover Pakistan Limited</t>
  </si>
  <si>
    <t>COLG</t>
  </si>
  <si>
    <t>Colgate - Palmolive (Pakistan) Limited</t>
  </si>
  <si>
    <t>FCEPL</t>
  </si>
  <si>
    <t>Frieslandcampina Engro Pakistan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</si>
  <si>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</si>
  <si>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</si>
  <si>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</si>
  <si>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</si>
  <si>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</si>
  <si>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</si>
  <si>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</si>
  <si>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</si>
  <si>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</si>
  <si>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</si>
  <si>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</si>
  <si>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</si>
  <si>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</si>
  <si>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</si>
  <si>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</si>
  <si>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</si>
  <si>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</si>
  <si>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</si>
  <si>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</si>
  <si>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</si>
  <si>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</si>
  <si>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</si>
  <si>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</si>
  <si>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Co. Limited</t>
  </si>
  <si>
    <t>SCL</t>
  </si>
  <si>
    <t>Shield Corporation Limited</t>
  </si>
  <si>
    <t>SHEZ</t>
  </si>
  <si>
    <t>Shezan International Limited</t>
  </si>
  <si>
    <t>TOMCL</t>
  </si>
  <si>
    <t>The Organic Meat Company Limited</t>
  </si>
  <si>
    <t>TREET</t>
  </si>
  <si>
    <t>Treet Corporation Limited</t>
  </si>
  <si>
    <t>UPFL</t>
  </si>
  <si>
    <t>Unilever Pakistan Foods Limited</t>
  </si>
  <si>
    <t>UNITY</t>
  </si>
  <si>
    <t>Unity Foods Limited</t>
  </si>
  <si>
    <t>ZIL</t>
  </si>
  <si>
    <t>ZIL Limited</t>
  </si>
  <si>
    <t>ASC</t>
  </si>
  <si>
    <t>Al Shaheer Corporation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</si>
  <si>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</si>
  <si>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</si>
  <si>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</si>
  <si>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</si>
  <si>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</si>
  <si>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</si>
  <si>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</si>
  <si>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</si>
  <si>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</si>
  <si>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</si>
  <si>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</si>
  <si>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</si>
  <si>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</si>
  <si>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</si>
  <si>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</si>
  <si>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</si>
  <si>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</si>
  <si>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</si>
  <si>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</si>
  <si>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</si>
  <si>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</si>
  <si>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</si>
  <si>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AKDHL</t>
  </si>
  <si>
    <t>AKD Hospitality Limited</t>
  </si>
  <si>
    <t>AKGL</t>
  </si>
  <si>
    <t>Al - Khair Gadoon Limited</t>
  </si>
  <si>
    <t>ARPAK</t>
  </si>
  <si>
    <t>Arpak International Investments Limited</t>
  </si>
  <si>
    <t>DIIL</t>
  </si>
  <si>
    <t>Diamond Industries Limited</t>
  </si>
  <si>
    <t>ECOP</t>
  </si>
  <si>
    <t>EcoPack Limited</t>
  </si>
  <si>
    <t>GOC</t>
  </si>
  <si>
    <t>GOC (Pak) Limited</t>
  </si>
  <si>
    <t>MWMP</t>
  </si>
  <si>
    <t>Mandviwalla Mauser Plastic Industries Limited</t>
  </si>
  <si>
    <t>PABC</t>
  </si>
  <si>
    <t>Pakistan Aluminium Beverage Cans Limited</t>
  </si>
  <si>
    <t>PSEL</t>
  </si>
  <si>
    <t>Pakistan Services Limited</t>
  </si>
  <si>
    <t>SHFA</t>
  </si>
  <si>
    <t>Shifa International Hospitals Limited</t>
  </si>
  <si>
    <t>STPL</t>
  </si>
  <si>
    <t>Siddiqsons Tin Plate Limited</t>
  </si>
  <si>
    <t>TRIPF</t>
  </si>
  <si>
    <t>Tri-Pack Films Limited</t>
  </si>
  <si>
    <t>UDLI</t>
  </si>
  <si>
    <t>UDL International Limited</t>
  </si>
  <si>
    <t>UBDL</t>
  </si>
  <si>
    <t>United Brands Limited</t>
  </si>
  <si>
    <t>UDPL</t>
  </si>
  <si>
    <t>United Distributors Pakistan Limited</t>
  </si>
  <si>
    <t>DCTL</t>
  </si>
  <si>
    <t>Dadabhoy Construction Technology Limited</t>
  </si>
  <si>
    <t>GAMON</t>
  </si>
  <si>
    <t>Gammon Pakistan Limited</t>
  </si>
  <si>
    <t>HADC</t>
  </si>
  <si>
    <t>Hayderi Construction Company Limited</t>
  </si>
  <si>
    <t>PHDL</t>
  </si>
  <si>
    <t>Pakistan Hotels Developers Limited</t>
  </si>
  <si>
    <t>GROWTH MARKET ENTERPRISES (GEM)</t>
  </si>
  <si>
    <t>GEMBCEM</t>
  </si>
  <si>
    <t>Burj Clean Energy Modaraba</t>
  </si>
  <si>
    <t>GEMPAPL</t>
  </si>
  <si>
    <t>Pak Agro Packaging Limited</t>
  </si>
  <si>
    <t>GEMPACRA</t>
  </si>
  <si>
    <t>Pakistan Credit Rating Agency Limited</t>
  </si>
  <si>
    <t>GEMMEL</t>
  </si>
  <si>
    <t>Mughal Energy Limited</t>
  </si>
  <si>
    <t>GEMNETS</t>
  </si>
  <si>
    <t>Nets International Communication Limited</t>
  </si>
  <si>
    <t>GEMSPNL</t>
  </si>
  <si>
    <t>Supernet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</si>
</sst>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_);\(#,##0.000\)"/>
    <numFmt numFmtId="165" formatCode="#,##0.000_);[Red]\(#,##0.000\)"/>
    <numFmt numFmtId="166" formatCode="#,##0.0_);\(#,##0.0\)"/>
    <numFmt numFmtId="167" formatCode="#,##0.000;[Red]\-#,##0.000"/>
    <numFmt numFmtId="168" formatCode="#,##0.0000_);[Red]\(#,##0.0000\)"/>
  </numFmts>
  <fonts count="19" x14ac:knownFonts="1">
    <font>
      <sz val="10"/>
      <name val="Arial"/>
    </font>
    <font>
      <b/>
      <sz val="12"/>
      <name val="Calibri"/>
      <family val="2"/>
      <scheme val="minor"/>
    </font>
    <font>
      <b/>
      <sz val="24"/>
      <color rgb="FF3333FF"/>
      <name val="Calibri"/>
      <family val="2"/>
      <scheme val="minor"/>
    </font>
    <font>
      <sz val="12"/>
      <name val="Calibri"/>
      <family val="2"/>
      <scheme val="minor"/>
    </font>
    <font>
      <sz val="12"/>
      <color indexed="12"/>
      <name val="Calibri"/>
      <family val="2"/>
      <scheme val="minor"/>
    </font>
    <font>
      <sz val="10"/>
      <name val="Calibri"/>
      <family val="2"/>
      <scheme val="minor"/>
    </font>
    <font>
      <sz val="10"/>
      <color indexed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12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indexed="12"/>
      <name val="Calibri"/>
      <family val="2"/>
      <scheme val="minor"/>
    </font>
    <font>
      <b/>
      <sz val="14"/>
      <color indexed="18"/>
      <name val="Calibri"/>
      <family val="2"/>
      <scheme val="minor"/>
    </font>
    <font>
      <sz val="12"/>
      <color rgb="FF3333FF"/>
      <name val="Calibri"/>
      <family val="2"/>
      <scheme val="minor"/>
    </font>
    <font>
      <b/>
      <i/>
      <sz val="14"/>
      <color indexed="10"/>
      <name val="Calibri"/>
      <family val="2"/>
      <scheme val="minor"/>
    </font>
    <font>
      <sz val="10"/>
      <color rgb="FF3333FF"/>
      <name val="Calibri"/>
      <family val="2"/>
      <scheme val="minor"/>
    </font>
    <font>
      <b/>
      <sz val="12"/>
      <color rgb="FF3333FF"/>
      <name val="Calibri"/>
      <family val="2"/>
      <scheme val="minor"/>
    </font>
    <font>
      <b/>
      <sz val="10"/>
      <name val="Calibri"/>
      <family val="2"/>
      <scheme val="minor"/>
    </font>
    <font>
      <i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/>
    </xf>
    <xf numFmtId="165" fontId="7" fillId="3" borderId="5" xfId="0" applyNumberFormat="1" applyFont="1" applyFill="1" applyBorder="1" applyAlignment="1">
      <alignment horizontal="center" vertical="center"/>
    </xf>
    <xf numFmtId="38" fontId="7" fillId="3" borderId="5" xfId="0" applyNumberFormat="1" applyFont="1" applyFill="1" applyBorder="1" applyAlignment="1">
      <alignment horizontal="center" vertical="center" wrapText="1"/>
    </xf>
    <xf numFmtId="164" fontId="8" fillId="3" borderId="5" xfId="0" applyNumberFormat="1" applyFont="1" applyFill="1" applyBorder="1" applyAlignment="1">
      <alignment horizontal="center" vertical="center" wrapText="1"/>
    </xf>
    <xf numFmtId="164" fontId="7" fillId="3" borderId="5" xfId="0" applyNumberFormat="1" applyFont="1" applyFill="1" applyBorder="1" applyAlignment="1">
      <alignment horizontal="center" vertical="center" wrapText="1"/>
    </xf>
    <xf numFmtId="164" fontId="8" fillId="3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164" fontId="7" fillId="3" borderId="6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5" fontId="7" fillId="3" borderId="7" xfId="0" applyNumberFormat="1" applyFont="1" applyFill="1" applyBorder="1" applyAlignment="1">
      <alignment horizontal="center"/>
    </xf>
    <xf numFmtId="38" fontId="7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0" fontId="9" fillId="0" borderId="0" xfId="0" applyFont="1"/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1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2" fillId="4" borderId="10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/>
    <xf numFmtId="15" fontId="3" fillId="0" borderId="10" xfId="0" applyNumberFormat="1" applyFont="1" applyBorder="1"/>
    <xf numFmtId="165" fontId="3" fillId="0" borderId="10" xfId="0" applyNumberFormat="1" applyFont="1" applyBorder="1"/>
    <xf numFmtId="166" fontId="3" fillId="0" borderId="10" xfId="0" applyNumberFormat="1" applyFont="1" applyBorder="1" applyAlignment="1">
      <alignment horizontal="center"/>
    </xf>
    <xf numFmtId="165" fontId="13" fillId="0" borderId="10" xfId="0" applyNumberFormat="1" applyFont="1" applyBorder="1"/>
    <xf numFmtId="40" fontId="3" fillId="0" borderId="10" xfId="0" applyNumberFormat="1" applyFont="1" applyBorder="1"/>
    <xf numFmtId="40" fontId="13" fillId="0" borderId="10" xfId="0" applyNumberFormat="1" applyFont="1" applyBorder="1"/>
    <xf numFmtId="37" fontId="3" fillId="0" borderId="10" xfId="0" applyNumberFormat="1" applyFont="1" applyBorder="1"/>
    <xf numFmtId="0" fontId="14" fillId="3" borderId="10" xfId="0" applyFont="1" applyFill="1" applyBorder="1" applyAlignment="1">
      <alignment horizontal="center"/>
    </xf>
    <xf numFmtId="166" fontId="3" fillId="0" borderId="0" xfId="0" applyNumberFormat="1" applyFont="1" applyBorder="1" applyAlignment="1">
      <alignment horizontal="center"/>
    </xf>
    <xf numFmtId="0" fontId="13" fillId="0" borderId="0" xfId="0" applyFont="1" applyBorder="1"/>
    <xf numFmtId="0" fontId="15" fillId="0" borderId="0" xfId="0" applyFont="1" applyBorder="1"/>
    <xf numFmtId="0" fontId="3" fillId="0" borderId="10" xfId="0" applyFont="1" applyFill="1" applyBorder="1"/>
    <xf numFmtId="0" fontId="1" fillId="0" borderId="10" xfId="0" applyFont="1" applyBorder="1" applyAlignment="1">
      <alignment horizontal="center"/>
    </xf>
    <xf numFmtId="165" fontId="1" fillId="0" borderId="10" xfId="0" applyNumberFormat="1" applyFont="1" applyBorder="1"/>
    <xf numFmtId="166" fontId="1" fillId="0" borderId="10" xfId="0" applyNumberFormat="1" applyFont="1" applyBorder="1" applyAlignment="1">
      <alignment horizontal="center"/>
    </xf>
    <xf numFmtId="165" fontId="16" fillId="0" borderId="1" xfId="0" applyNumberFormat="1" applyFont="1" applyBorder="1"/>
    <xf numFmtId="165" fontId="16" fillId="0" borderId="10" xfId="0" applyNumberFormat="1" applyFont="1" applyBorder="1"/>
    <xf numFmtId="40" fontId="1" fillId="0" borderId="3" xfId="0" applyNumberFormat="1" applyFont="1" applyBorder="1"/>
    <xf numFmtId="40" fontId="16" fillId="0" borderId="3" xfId="0" applyNumberFormat="1" applyFont="1" applyBorder="1"/>
    <xf numFmtId="38" fontId="1" fillId="0" borderId="10" xfId="0" applyNumberFormat="1" applyFont="1" applyBorder="1"/>
    <xf numFmtId="0" fontId="17" fillId="0" borderId="0" xfId="0" applyFont="1"/>
    <xf numFmtId="0" fontId="14" fillId="3" borderId="4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2" fillId="4" borderId="3" xfId="0" applyFont="1" applyFill="1" applyBorder="1" applyAlignment="1">
      <alignment horizontal="center"/>
    </xf>
    <xf numFmtId="38" fontId="3" fillId="0" borderId="10" xfId="0" applyNumberFormat="1" applyFont="1" applyBorder="1" applyAlignment="1">
      <alignment horizontal="center"/>
    </xf>
    <xf numFmtId="0" fontId="12" fillId="0" borderId="0" xfId="0" applyFont="1" applyFill="1" applyBorder="1" applyAlignment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5" fontId="1" fillId="0" borderId="0" xfId="0" applyNumberFormat="1" applyFont="1" applyBorder="1"/>
    <xf numFmtId="165" fontId="3" fillId="0" borderId="0" xfId="0" applyNumberFormat="1" applyFont="1" applyBorder="1"/>
    <xf numFmtId="165" fontId="13" fillId="0" borderId="0" xfId="0" applyNumberFormat="1" applyFont="1" applyBorder="1"/>
    <xf numFmtId="40" fontId="3" fillId="0" borderId="0" xfId="0" applyNumberFormat="1" applyFont="1" applyBorder="1"/>
    <xf numFmtId="40" fontId="13" fillId="0" borderId="0" xfId="0" applyNumberFormat="1" applyFont="1" applyBorder="1"/>
    <xf numFmtId="37" fontId="3" fillId="0" borderId="0" xfId="0" applyNumberFormat="1" applyFont="1" applyBorder="1"/>
    <xf numFmtId="0" fontId="3" fillId="0" borderId="0" xfId="0" applyFont="1" applyBorder="1" applyAlignment="1">
      <alignment horizontal="center"/>
    </xf>
    <xf numFmtId="165" fontId="1" fillId="0" borderId="0" xfId="0" applyNumberFormat="1" applyFont="1" applyBorder="1"/>
    <xf numFmtId="166" fontId="1" fillId="0" borderId="0" xfId="0" applyNumberFormat="1" applyFont="1" applyBorder="1" applyAlignment="1">
      <alignment horizontal="center"/>
    </xf>
    <xf numFmtId="165" fontId="16" fillId="0" borderId="0" xfId="0" applyNumberFormat="1" applyFont="1" applyBorder="1"/>
    <xf numFmtId="40" fontId="1" fillId="0" borderId="0" xfId="0" applyNumberFormat="1" applyFont="1" applyBorder="1"/>
    <xf numFmtId="40" fontId="16" fillId="0" borderId="0" xfId="0" applyNumberFormat="1" applyFont="1" applyBorder="1"/>
    <xf numFmtId="38" fontId="1" fillId="0" borderId="0" xfId="0" applyNumberFormat="1" applyFont="1" applyBorder="1"/>
    <xf numFmtId="0" fontId="5" fillId="0" borderId="0" xfId="0" applyFont="1" applyFill="1"/>
    <xf numFmtId="15" fontId="3" fillId="0" borderId="10" xfId="0" applyNumberFormat="1" applyFont="1" applyFill="1" applyBorder="1"/>
    <xf numFmtId="165" fontId="3" fillId="0" borderId="10" xfId="0" applyNumberFormat="1" applyFont="1" applyFill="1" applyBorder="1"/>
    <xf numFmtId="166" fontId="3" fillId="0" borderId="10" xfId="0" applyNumberFormat="1" applyFont="1" applyFill="1" applyBorder="1" applyAlignment="1">
      <alignment horizontal="center"/>
    </xf>
    <xf numFmtId="165" fontId="13" fillId="0" borderId="10" xfId="0" applyNumberFormat="1" applyFont="1" applyFill="1" applyBorder="1"/>
    <xf numFmtId="40" fontId="3" fillId="0" borderId="10" xfId="0" applyNumberFormat="1" applyFont="1" applyFill="1" applyBorder="1"/>
    <xf numFmtId="40" fontId="13" fillId="0" borderId="10" xfId="0" applyNumberFormat="1" applyFont="1" applyFill="1" applyBorder="1"/>
    <xf numFmtId="37" fontId="3" fillId="0" borderId="10" xfId="0" applyNumberFormat="1" applyFont="1" applyFill="1" applyBorder="1"/>
    <xf numFmtId="167" fontId="3" fillId="0" borderId="10" xfId="0" applyNumberFormat="1" applyFont="1" applyBorder="1"/>
    <xf numFmtId="38" fontId="1" fillId="0" borderId="10" xfId="0" applyNumberFormat="1" applyFont="1" applyBorder="1" applyAlignment="1">
      <alignment horizontal="center"/>
    </xf>
    <xf numFmtId="38" fontId="3" fillId="0" borderId="0" xfId="0" applyNumberFormat="1" applyFont="1" applyBorder="1" applyAlignment="1">
      <alignment horizontal="center"/>
    </xf>
    <xf numFmtId="15" fontId="3" fillId="0" borderId="0" xfId="0" applyNumberFormat="1" applyFont="1" applyBorder="1"/>
    <xf numFmtId="38" fontId="3" fillId="0" borderId="10" xfId="0" applyNumberFormat="1" applyFont="1" applyFill="1" applyBorder="1" applyAlignment="1">
      <alignment horizontal="center"/>
    </xf>
    <xf numFmtId="168" fontId="3" fillId="0" borderId="1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C94D7-82CA-4414-A7E1-7139897EE2CC}">
  <dimension ref="B1:T815"/>
  <sheetViews>
    <sheetView showGridLines="0" tabSelected="1" zoomScale="90" zoomScaleNormal="90" workbookViewId="0">
      <pane xSplit="4" ySplit="4" topLeftCell="E5" activePane="bottomRight" state="frozen"/>
      <selection pane="topRight" activeCell="E1" sqref="E1"/>
      <selection pane="bottomLeft" activeCell="A6" sqref="A6"/>
      <selection pane="bottomRight" activeCell="D1" sqref="D1:F1"/>
    </sheetView>
  </sheetViews>
  <sheetFormatPr defaultColWidth="9.109375" defaultRowHeight="13.8" x14ac:dyDescent="0.3"/>
  <cols>
    <col min="1" max="1" width="3.6640625" style="7" customWidth="1"/>
    <col min="2" max="2" width="8.6640625" style="7" bestFit="1" customWidth="1"/>
    <col min="3" max="3" width="12.6640625" style="7" bestFit="1" customWidth="1"/>
    <col min="4" max="4" width="61.44140625" style="7" customWidth="1"/>
    <col min="5" max="5" width="13.109375" style="7" bestFit="1" customWidth="1"/>
    <col min="6" max="6" width="14.88671875" style="7" customWidth="1"/>
    <col min="7" max="7" width="8.5546875" style="7" bestFit="1" customWidth="1"/>
    <col min="8" max="8" width="13.6640625" style="8" customWidth="1"/>
    <col min="9" max="9" width="14.88671875" style="7" customWidth="1"/>
    <col min="10" max="10" width="16.6640625" style="7" customWidth="1"/>
    <col min="11" max="11" width="16.6640625" style="7" bestFit="1" customWidth="1"/>
    <col min="12" max="12" width="13.6640625" style="7" customWidth="1"/>
    <col min="13" max="13" width="15.33203125" style="7" bestFit="1" customWidth="1"/>
    <col min="14" max="14" width="14.33203125" style="8" bestFit="1" customWidth="1"/>
    <col min="15" max="15" width="15.21875" style="7" bestFit="1" customWidth="1"/>
    <col min="16" max="18" width="12.5546875" style="7" bestFit="1" customWidth="1"/>
    <col min="19" max="19" width="12.5546875" style="7" customWidth="1"/>
    <col min="20" max="20" width="13.5546875" style="7" bestFit="1" customWidth="1"/>
    <col min="21" max="16384" width="9.109375" style="7"/>
  </cols>
  <sheetData>
    <row r="1" spans="2:20" ht="31.2" x14ac:dyDescent="0.6">
      <c r="B1" s="1"/>
      <c r="C1" s="1"/>
      <c r="D1" s="2" t="s">
        <v>0</v>
      </c>
      <c r="E1" s="3"/>
      <c r="F1" s="4"/>
      <c r="G1" s="5"/>
      <c r="H1" s="6"/>
    </row>
    <row r="2" spans="2:20" s="16" customFormat="1" ht="28.8" x14ac:dyDescent="0.25">
      <c r="B2" s="9" t="s">
        <v>1</v>
      </c>
      <c r="C2" s="10" t="s">
        <v>2</v>
      </c>
      <c r="D2" s="10" t="s">
        <v>3</v>
      </c>
      <c r="E2" s="11" t="s">
        <v>4</v>
      </c>
      <c r="F2" s="11" t="s">
        <v>5</v>
      </c>
      <c r="G2" s="12" t="s">
        <v>6</v>
      </c>
      <c r="H2" s="13" t="s">
        <v>7</v>
      </c>
      <c r="I2" s="14" t="s">
        <v>8</v>
      </c>
      <c r="J2" s="10" t="s">
        <v>9</v>
      </c>
      <c r="K2" s="14" t="s">
        <v>10</v>
      </c>
      <c r="L2" s="14" t="s">
        <v>11</v>
      </c>
      <c r="M2" s="14" t="s">
        <v>12</v>
      </c>
      <c r="N2" s="15" t="s">
        <v>13</v>
      </c>
      <c r="O2" s="14" t="s">
        <v>14</v>
      </c>
      <c r="P2" s="14" t="s">
        <v>15</v>
      </c>
      <c r="Q2" s="14" t="s">
        <v>16</v>
      </c>
      <c r="R2" s="13" t="s">
        <v>17</v>
      </c>
      <c r="S2" s="10" t="s">
        <v>18</v>
      </c>
      <c r="T2" s="14" t="s">
        <v>19</v>
      </c>
    </row>
    <row r="3" spans="2:20" s="22" customFormat="1" ht="14.4" x14ac:dyDescent="0.3">
      <c r="B3" s="17"/>
      <c r="C3" s="18"/>
      <c r="D3" s="18"/>
      <c r="E3" s="19"/>
      <c r="F3" s="19"/>
      <c r="G3" s="20"/>
      <c r="H3" s="21"/>
      <c r="I3" s="18"/>
      <c r="J3" s="18"/>
      <c r="K3" s="18"/>
      <c r="L3" s="18"/>
      <c r="M3" s="18"/>
      <c r="N3" s="21"/>
      <c r="O3" s="18"/>
      <c r="P3" s="18"/>
      <c r="Q3" s="18"/>
      <c r="R3" s="21"/>
      <c r="S3" s="18"/>
      <c r="T3" s="18"/>
    </row>
    <row r="4" spans="2:20" ht="15.6" x14ac:dyDescent="0.3">
      <c r="B4" s="23"/>
      <c r="C4" s="24"/>
      <c r="D4" s="24"/>
      <c r="E4" s="24"/>
      <c r="F4" s="25" t="s">
        <v>20</v>
      </c>
      <c r="G4" s="26"/>
      <c r="H4" s="27" t="s">
        <v>21</v>
      </c>
      <c r="I4" s="25" t="s">
        <v>20</v>
      </c>
      <c r="J4" s="25" t="s">
        <v>20</v>
      </c>
      <c r="K4" s="25" t="s">
        <v>20</v>
      </c>
      <c r="L4" s="25" t="s">
        <v>20</v>
      </c>
      <c r="M4" s="25" t="s">
        <v>20</v>
      </c>
      <c r="N4" s="27" t="s">
        <v>20</v>
      </c>
      <c r="O4" s="25" t="s">
        <v>20</v>
      </c>
      <c r="P4" s="25" t="s">
        <v>22</v>
      </c>
      <c r="Q4" s="25" t="s">
        <v>22</v>
      </c>
      <c r="R4" s="27" t="s">
        <v>22</v>
      </c>
      <c r="S4" s="25" t="s">
        <v>22</v>
      </c>
      <c r="T4" s="24"/>
    </row>
    <row r="5" spans="2:20" ht="15.6" x14ac:dyDescent="0.3">
      <c r="B5" s="28"/>
      <c r="C5" s="28"/>
      <c r="D5" s="28"/>
      <c r="E5" s="28"/>
      <c r="F5" s="28"/>
      <c r="G5" s="28"/>
      <c r="H5" s="29"/>
      <c r="I5" s="30"/>
      <c r="J5" s="30"/>
      <c r="K5" s="30"/>
      <c r="L5" s="30"/>
      <c r="M5" s="30"/>
      <c r="N5" s="31"/>
      <c r="O5" s="30"/>
      <c r="P5" s="30"/>
      <c r="Q5" s="30"/>
      <c r="R5" s="31"/>
      <c r="S5" s="30"/>
      <c r="T5" s="30"/>
    </row>
    <row r="6" spans="2:20" ht="18" x14ac:dyDescent="0.35">
      <c r="B6" s="28"/>
      <c r="C6" s="32">
        <v>1</v>
      </c>
      <c r="D6" s="32" t="s">
        <v>23</v>
      </c>
      <c r="E6" s="28"/>
      <c r="F6" s="28"/>
      <c r="G6" s="28"/>
      <c r="H6" s="29"/>
      <c r="I6" s="30"/>
      <c r="J6" s="30"/>
      <c r="K6" s="30"/>
      <c r="L6" s="30"/>
      <c r="M6" s="30"/>
      <c r="N6" s="31"/>
      <c r="O6" s="30"/>
      <c r="P6" s="30"/>
      <c r="Q6" s="30"/>
      <c r="R6" s="31"/>
      <c r="S6" s="30"/>
      <c r="T6" s="30"/>
    </row>
    <row r="7" spans="2:20" ht="15.6" x14ac:dyDescent="0.3">
      <c r="B7" s="28"/>
      <c r="C7" s="28"/>
      <c r="D7" s="28"/>
      <c r="E7" s="28"/>
      <c r="F7" s="28"/>
      <c r="G7" s="28"/>
      <c r="H7" s="29"/>
      <c r="I7" s="30"/>
      <c r="J7" s="30"/>
      <c r="K7" s="30"/>
      <c r="L7" s="30"/>
      <c r="M7" s="30"/>
      <c r="N7" s="31"/>
      <c r="O7" s="30"/>
      <c r="P7" s="30"/>
      <c r="Q7" s="30"/>
      <c r="R7" s="31"/>
      <c r="S7" s="30"/>
      <c r="T7" s="30"/>
    </row>
    <row r="8" spans="2:20" ht="15.6" x14ac:dyDescent="0.3">
      <c r="B8" s="33">
        <v>1</v>
      </c>
      <c r="C8" s="33" t="s">
        <v>24</v>
      </c>
      <c r="D8" s="34" t="s">
        <v>25</v>
      </c>
      <c r="E8" s="35">
        <v>45838</v>
      </c>
      <c r="F8" s="36">
        <v>2835</v>
      </c>
      <c r="G8" s="37">
        <v>10</v>
      </c>
      <c r="H8" s="38">
        <f>+F8/G8</f>
        <v>283.5</v>
      </c>
      <c r="I8" s="36"/>
      <c r="J8" s="36"/>
      <c r="K8" s="36"/>
      <c r="L8" s="36"/>
      <c r="M8" s="36"/>
      <c r="N8" s="38">
        <f>+M8-O8</f>
        <v>0</v>
      </c>
      <c r="O8" s="36"/>
      <c r="P8" s="39">
        <v>10.5</v>
      </c>
      <c r="Q8" s="39"/>
      <c r="R8" s="40">
        <f>SUM(P8:Q8)</f>
        <v>10.5</v>
      </c>
      <c r="S8" s="39"/>
      <c r="T8" s="41"/>
    </row>
    <row r="9" spans="2:20" ht="15.6" x14ac:dyDescent="0.3">
      <c r="B9" s="33">
        <f>+B8+1</f>
        <v>2</v>
      </c>
      <c r="C9" s="33" t="s">
        <v>26</v>
      </c>
      <c r="D9" s="34" t="s">
        <v>27</v>
      </c>
      <c r="E9" s="35">
        <v>45838</v>
      </c>
      <c r="F9" s="36">
        <v>2841.25</v>
      </c>
      <c r="G9" s="37">
        <v>10</v>
      </c>
      <c r="H9" s="38">
        <f>+F9/G9</f>
        <v>284.125</v>
      </c>
      <c r="I9" s="36"/>
      <c r="J9" s="36"/>
      <c r="K9" s="36"/>
      <c r="L9" s="36"/>
      <c r="M9" s="36"/>
      <c r="N9" s="38">
        <f>+M9-O9</f>
        <v>0</v>
      </c>
      <c r="O9" s="36"/>
      <c r="P9" s="39">
        <f>3.3</f>
        <v>3.3</v>
      </c>
      <c r="Q9" s="39"/>
      <c r="R9" s="40">
        <f>SUM(P9:Q9)</f>
        <v>3.3</v>
      </c>
      <c r="S9" s="39"/>
      <c r="T9" s="41"/>
    </row>
    <row r="10" spans="2:20" ht="15.6" x14ac:dyDescent="0.3">
      <c r="B10" s="33">
        <f>+B9+1</f>
        <v>3</v>
      </c>
      <c r="C10" s="33" t="s">
        <v>28</v>
      </c>
      <c r="D10" s="34" t="s">
        <v>29</v>
      </c>
      <c r="E10" s="35">
        <v>45838</v>
      </c>
      <c r="F10" s="36">
        <v>50</v>
      </c>
      <c r="G10" s="37">
        <v>10</v>
      </c>
      <c r="H10" s="38">
        <f>+F10/G10</f>
        <v>5</v>
      </c>
      <c r="I10" s="36">
        <v>86.343101000000004</v>
      </c>
      <c r="J10" s="36">
        <v>113.733423</v>
      </c>
      <c r="K10" s="36">
        <v>25.083355000000001</v>
      </c>
      <c r="L10" s="36">
        <v>0</v>
      </c>
      <c r="M10" s="36">
        <v>21.981422999999999</v>
      </c>
      <c r="N10" s="38">
        <f>+M10-O10</f>
        <v>0.41300499999999829</v>
      </c>
      <c r="O10" s="36">
        <v>21.568418000000001</v>
      </c>
      <c r="P10" s="39">
        <v>0</v>
      </c>
      <c r="Q10" s="39">
        <v>0</v>
      </c>
      <c r="R10" s="40">
        <f>SUM(P10:Q10)</f>
        <v>0</v>
      </c>
      <c r="S10" s="39"/>
      <c r="T10" s="41">
        <v>2510</v>
      </c>
    </row>
    <row r="12" spans="2:20" ht="18" x14ac:dyDescent="0.35">
      <c r="B12" s="28"/>
      <c r="C12" s="28"/>
      <c r="D12" s="42" t="s">
        <v>30</v>
      </c>
      <c r="E12" s="28"/>
      <c r="F12" s="28"/>
      <c r="G12" s="43"/>
      <c r="H12" s="44"/>
      <c r="I12" s="30"/>
      <c r="J12" s="30"/>
      <c r="K12" s="30"/>
      <c r="L12" s="30"/>
      <c r="M12" s="30"/>
      <c r="N12" s="45"/>
      <c r="O12" s="30"/>
      <c r="P12" s="30"/>
      <c r="Q12" s="30"/>
      <c r="R12" s="45"/>
      <c r="S12" s="30"/>
      <c r="T12" s="30"/>
    </row>
    <row r="13" spans="2:20" ht="15.6" x14ac:dyDescent="0.3">
      <c r="B13" s="33">
        <v>1</v>
      </c>
      <c r="C13" s="33" t="s">
        <v>31</v>
      </c>
      <c r="D13" s="46" t="s">
        <v>32</v>
      </c>
      <c r="E13" s="35">
        <v>45838</v>
      </c>
      <c r="F13" s="36"/>
      <c r="G13" s="37">
        <v>10</v>
      </c>
      <c r="H13" s="38">
        <f>+F13/G13</f>
        <v>0</v>
      </c>
      <c r="I13" s="36"/>
      <c r="J13" s="36"/>
      <c r="K13" s="36"/>
      <c r="L13" s="36"/>
      <c r="M13" s="36"/>
      <c r="N13" s="38">
        <f>+M13-O13</f>
        <v>0</v>
      </c>
      <c r="O13" s="36"/>
      <c r="P13" s="39"/>
      <c r="Q13" s="39"/>
      <c r="R13" s="40">
        <f>SUM(P13:Q13)</f>
        <v>0</v>
      </c>
      <c r="S13" s="39"/>
      <c r="T13" s="41"/>
    </row>
    <row r="14" spans="2:20" ht="15.6" x14ac:dyDescent="0.3">
      <c r="B14" s="33">
        <f>+B13+1</f>
        <v>2</v>
      </c>
      <c r="C14" s="33" t="s">
        <v>33</v>
      </c>
      <c r="D14" s="34" t="s">
        <v>34</v>
      </c>
      <c r="E14" s="35">
        <v>45838</v>
      </c>
      <c r="F14" s="36"/>
      <c r="G14" s="37">
        <v>10</v>
      </c>
      <c r="H14" s="38">
        <f>+F14/G14</f>
        <v>0</v>
      </c>
      <c r="I14" s="36"/>
      <c r="J14" s="36"/>
      <c r="K14" s="36"/>
      <c r="L14" s="36"/>
      <c r="M14" s="36"/>
      <c r="N14" s="38">
        <f>+M14-O14</f>
        <v>0</v>
      </c>
      <c r="O14" s="36"/>
      <c r="P14" s="39"/>
      <c r="Q14" s="39"/>
      <c r="R14" s="40">
        <f>SUM(P14:Q14)</f>
        <v>0</v>
      </c>
      <c r="S14" s="39"/>
      <c r="T14" s="41"/>
    </row>
    <row r="15" spans="2:20" ht="15.6" x14ac:dyDescent="0.3">
      <c r="B15" s="28"/>
      <c r="C15" s="28"/>
      <c r="D15" s="28"/>
      <c r="E15" s="28"/>
      <c r="F15" s="28"/>
      <c r="G15" s="43"/>
      <c r="H15" s="44"/>
      <c r="I15" s="30"/>
      <c r="J15" s="30"/>
      <c r="K15" s="30"/>
      <c r="L15" s="30"/>
      <c r="M15" s="30"/>
      <c r="N15" s="45"/>
      <c r="O15" s="30"/>
      <c r="P15" s="30"/>
      <c r="Q15" s="30"/>
      <c r="R15" s="45"/>
      <c r="S15" s="30"/>
      <c r="T15" s="30"/>
    </row>
    <row r="16" spans="2:20" s="55" customFormat="1" ht="15.6" x14ac:dyDescent="0.3">
      <c r="B16" s="47">
        <f>COUNT(B8:B15)</f>
        <v>5</v>
      </c>
      <c r="C16" s="47"/>
      <c r="D16" s="48"/>
      <c r="E16" s="48"/>
      <c r="F16" s="48">
        <f>SUM(F8:F15)</f>
        <v>5726.25</v>
      </c>
      <c r="G16" s="49"/>
      <c r="H16" s="50">
        <f>SUM(H8:H15)</f>
        <v>572.625</v>
      </c>
      <c r="I16" s="48">
        <f>SUM(I8:I15)</f>
        <v>86.343101000000004</v>
      </c>
      <c r="J16" s="48">
        <f>SUM(J8:J15)</f>
        <v>113.733423</v>
      </c>
      <c r="K16" s="48">
        <f>SUM(K8:K15)</f>
        <v>25.083355000000001</v>
      </c>
      <c r="L16" s="48">
        <f>SUM(L8:L15)</f>
        <v>0</v>
      </c>
      <c r="M16" s="48">
        <f>SUM(M8:M15)</f>
        <v>21.981422999999999</v>
      </c>
      <c r="N16" s="51">
        <f>SUM(N8:N15)</f>
        <v>0.41300499999999829</v>
      </c>
      <c r="O16" s="48">
        <f>SUM(O8:O15)</f>
        <v>21.568418000000001</v>
      </c>
      <c r="P16" s="52"/>
      <c r="Q16" s="52"/>
      <c r="R16" s="53"/>
      <c r="S16" s="52"/>
      <c r="T16" s="54">
        <f>SUM(T8:T15)</f>
        <v>2510</v>
      </c>
    </row>
    <row r="17" spans="2:20" ht="15.6" x14ac:dyDescent="0.3">
      <c r="B17" s="28"/>
      <c r="C17" s="28"/>
      <c r="D17" s="28"/>
      <c r="E17" s="28"/>
      <c r="F17" s="28"/>
      <c r="G17" s="43"/>
      <c r="H17" s="44"/>
      <c r="I17" s="30"/>
      <c r="J17" s="30"/>
      <c r="K17" s="30"/>
      <c r="L17" s="30"/>
      <c r="M17" s="30"/>
      <c r="N17" s="45"/>
      <c r="O17" s="30"/>
      <c r="P17" s="30"/>
      <c r="Q17" s="30"/>
      <c r="R17" s="45"/>
      <c r="S17" s="30"/>
      <c r="T17" s="30"/>
    </row>
    <row r="18" spans="2:20" ht="15.6" x14ac:dyDescent="0.3">
      <c r="B18" s="28"/>
      <c r="C18" s="28"/>
      <c r="D18" s="28"/>
      <c r="E18" s="28"/>
      <c r="F18" s="28"/>
      <c r="G18" s="43"/>
      <c r="H18" s="44"/>
      <c r="I18" s="30"/>
      <c r="J18" s="30"/>
      <c r="K18" s="30"/>
      <c r="L18" s="30"/>
      <c r="M18" s="30"/>
      <c r="N18" s="45"/>
      <c r="O18" s="30"/>
      <c r="P18" s="30"/>
      <c r="Q18" s="30"/>
      <c r="R18" s="45"/>
      <c r="S18" s="30"/>
      <c r="T18" s="30"/>
    </row>
    <row r="19" spans="2:20" ht="18" x14ac:dyDescent="0.35">
      <c r="B19" s="28"/>
      <c r="C19" s="32">
        <v>2</v>
      </c>
      <c r="D19" s="32" t="s">
        <v>35</v>
      </c>
      <c r="E19" s="28"/>
      <c r="F19" s="28"/>
      <c r="G19" s="43"/>
      <c r="H19" s="44"/>
      <c r="I19" s="30"/>
      <c r="J19" s="30"/>
      <c r="K19" s="30"/>
      <c r="L19" s="30"/>
      <c r="M19" s="30"/>
      <c r="N19" s="45"/>
      <c r="O19" s="30"/>
      <c r="P19" s="30"/>
      <c r="Q19" s="30"/>
      <c r="R19" s="45"/>
      <c r="S19" s="30"/>
      <c r="T19" s="30"/>
    </row>
    <row r="20" spans="2:20" ht="15.6" x14ac:dyDescent="0.3">
      <c r="B20" s="28"/>
      <c r="C20" s="28"/>
      <c r="D20" s="28"/>
      <c r="E20" s="28"/>
      <c r="F20" s="28"/>
      <c r="G20" s="43"/>
      <c r="H20" s="44"/>
      <c r="I20" s="30"/>
      <c r="J20" s="30"/>
      <c r="K20" s="30"/>
      <c r="L20" s="30"/>
      <c r="M20" s="30"/>
      <c r="N20" s="45"/>
      <c r="O20" s="30"/>
      <c r="P20" s="30"/>
      <c r="Q20" s="30"/>
      <c r="R20" s="45"/>
      <c r="S20" s="30"/>
      <c r="T20" s="30"/>
    </row>
    <row r="21" spans="2:20" ht="15.6" x14ac:dyDescent="0.3">
      <c r="B21" s="33">
        <v>1</v>
      </c>
      <c r="C21" s="33" t="s">
        <v>36</v>
      </c>
      <c r="D21" s="34" t="s">
        <v>37</v>
      </c>
      <c r="E21" s="35">
        <v>45838</v>
      </c>
      <c r="F21" s="36">
        <v>75.151587000000006</v>
      </c>
      <c r="G21" s="37">
        <v>10</v>
      </c>
      <c r="H21" s="38">
        <f t="shared" ref="H21:H39" si="0">+F21/G21</f>
        <v>7.5151587000000006</v>
      </c>
      <c r="I21" s="36">
        <v>176.844526</v>
      </c>
      <c r="J21" s="36">
        <v>176.844526</v>
      </c>
      <c r="K21" s="36">
        <v>33.145122000000001</v>
      </c>
      <c r="L21" s="36">
        <v>0</v>
      </c>
      <c r="M21" s="36">
        <v>19.803619999999999</v>
      </c>
      <c r="N21" s="38">
        <f t="shared" ref="N21:N39" si="1">+M21-O21</f>
        <v>5.1064239999999987</v>
      </c>
      <c r="O21" s="36">
        <v>14.697196</v>
      </c>
      <c r="P21" s="39">
        <v>0</v>
      </c>
      <c r="Q21" s="39">
        <v>0</v>
      </c>
      <c r="R21" s="40">
        <f t="shared" ref="R21:R39" si="2">SUM(P21:Q21)</f>
        <v>0</v>
      </c>
      <c r="S21" s="39"/>
      <c r="T21" s="41">
        <v>1190</v>
      </c>
    </row>
    <row r="22" spans="2:20" ht="15.6" x14ac:dyDescent="0.3">
      <c r="B22" s="33">
        <f t="shared" ref="B22:B40" si="3">+B21+1</f>
        <v>2</v>
      </c>
      <c r="C22" s="33" t="s">
        <v>38</v>
      </c>
      <c r="D22" s="34" t="s">
        <v>39</v>
      </c>
      <c r="E22" s="35">
        <v>45838</v>
      </c>
      <c r="F22" s="36">
        <v>231</v>
      </c>
      <c r="G22" s="37">
        <v>10</v>
      </c>
      <c r="H22" s="38">
        <f t="shared" si="0"/>
        <v>23.1</v>
      </c>
      <c r="I22" s="36">
        <v>259.01695999999998</v>
      </c>
      <c r="J22" s="36">
        <v>275.01516299999997</v>
      </c>
      <c r="K22" s="36">
        <v>43.662481</v>
      </c>
      <c r="L22" s="36">
        <v>1.9651999999999999E-2</v>
      </c>
      <c r="M22" s="36">
        <v>2.45425</v>
      </c>
      <c r="N22" s="38">
        <f t="shared" si="1"/>
        <v>4.1180000000000216E-2</v>
      </c>
      <c r="O22" s="36">
        <v>2.4130699999999998</v>
      </c>
      <c r="P22" s="39">
        <v>0</v>
      </c>
      <c r="Q22" s="39">
        <v>0</v>
      </c>
      <c r="R22" s="40">
        <f t="shared" si="2"/>
        <v>0</v>
      </c>
      <c r="S22" s="39"/>
      <c r="T22" s="41">
        <v>628</v>
      </c>
    </row>
    <row r="23" spans="2:20" ht="15.6" x14ac:dyDescent="0.3">
      <c r="B23" s="33">
        <f t="shared" si="3"/>
        <v>3</v>
      </c>
      <c r="C23" s="33" t="s">
        <v>40</v>
      </c>
      <c r="D23" s="34" t="s">
        <v>41</v>
      </c>
      <c r="E23" s="35">
        <v>45838</v>
      </c>
      <c r="F23" s="36"/>
      <c r="G23" s="37">
        <v>10</v>
      </c>
      <c r="H23" s="38">
        <f t="shared" si="0"/>
        <v>0</v>
      </c>
      <c r="I23" s="36"/>
      <c r="J23" s="36"/>
      <c r="K23" s="36"/>
      <c r="L23" s="36"/>
      <c r="M23" s="36"/>
      <c r="N23" s="38">
        <f t="shared" si="1"/>
        <v>0</v>
      </c>
      <c r="O23" s="36"/>
      <c r="P23" s="39"/>
      <c r="Q23" s="39"/>
      <c r="R23" s="40">
        <f t="shared" si="2"/>
        <v>0</v>
      </c>
      <c r="S23" s="39"/>
      <c r="T23" s="41"/>
    </row>
    <row r="24" spans="2:20" ht="15.6" x14ac:dyDescent="0.3">
      <c r="B24" s="33">
        <f t="shared" si="3"/>
        <v>4</v>
      </c>
      <c r="C24" s="33" t="s">
        <v>42</v>
      </c>
      <c r="D24" s="34" t="s">
        <v>43</v>
      </c>
      <c r="E24" s="35">
        <v>45838</v>
      </c>
      <c r="F24" s="36">
        <v>113.4</v>
      </c>
      <c r="G24" s="37">
        <v>10</v>
      </c>
      <c r="H24" s="38">
        <f t="shared" si="0"/>
        <v>11.34</v>
      </c>
      <c r="I24" s="36">
        <v>136.691709</v>
      </c>
      <c r="J24" s="36">
        <v>232.34657799999999</v>
      </c>
      <c r="K24" s="36">
        <v>52.319980000000001</v>
      </c>
      <c r="L24" s="36">
        <v>1.6147000000000002E-2</v>
      </c>
      <c r="M24" s="36">
        <v>4.6954339999999997</v>
      </c>
      <c r="N24" s="38">
        <f t="shared" si="1"/>
        <v>0</v>
      </c>
      <c r="O24" s="36">
        <v>4.6954339999999997</v>
      </c>
      <c r="P24" s="39">
        <v>0</v>
      </c>
      <c r="Q24" s="39">
        <v>0</v>
      </c>
      <c r="R24" s="40">
        <f t="shared" si="2"/>
        <v>0</v>
      </c>
      <c r="S24" s="39"/>
      <c r="T24" s="41">
        <v>4242</v>
      </c>
    </row>
    <row r="25" spans="2:20" ht="15.6" x14ac:dyDescent="0.3">
      <c r="B25" s="33">
        <f t="shared" si="3"/>
        <v>5</v>
      </c>
      <c r="C25" s="33" t="s">
        <v>44</v>
      </c>
      <c r="D25" s="34" t="s">
        <v>45</v>
      </c>
      <c r="E25" s="35">
        <v>45838</v>
      </c>
      <c r="F25" s="36">
        <v>524.4</v>
      </c>
      <c r="G25" s="37">
        <v>10</v>
      </c>
      <c r="H25" s="38">
        <f t="shared" si="0"/>
        <v>52.44</v>
      </c>
      <c r="I25" s="36">
        <v>612.81418699999995</v>
      </c>
      <c r="J25" s="36">
        <v>665.197675</v>
      </c>
      <c r="K25" s="36">
        <v>21.492674999999998</v>
      </c>
      <c r="L25" s="36">
        <v>6.3449999999999999E-3</v>
      </c>
      <c r="M25" s="36">
        <v>-8.2707119999999996</v>
      </c>
      <c r="N25" s="38">
        <f t="shared" si="1"/>
        <v>1.3438999999999979E-2</v>
      </c>
      <c r="O25" s="36">
        <v>-8.2841509999999996</v>
      </c>
      <c r="P25" s="39">
        <v>0</v>
      </c>
      <c r="Q25" s="39">
        <v>0</v>
      </c>
      <c r="R25" s="40">
        <f t="shared" si="2"/>
        <v>0</v>
      </c>
      <c r="S25" s="39"/>
      <c r="T25" s="41">
        <v>4862</v>
      </c>
    </row>
    <row r="26" spans="2:20" ht="15.6" x14ac:dyDescent="0.3">
      <c r="B26" s="33">
        <f t="shared" si="3"/>
        <v>6</v>
      </c>
      <c r="C26" s="33" t="s">
        <v>46</v>
      </c>
      <c r="D26" s="34" t="s">
        <v>47</v>
      </c>
      <c r="E26" s="35">
        <v>45838</v>
      </c>
      <c r="F26" s="36">
        <v>264.13803999999999</v>
      </c>
      <c r="G26" s="37">
        <v>10</v>
      </c>
      <c r="H26" s="38">
        <f t="shared" si="0"/>
        <v>26.413803999999999</v>
      </c>
      <c r="I26" s="36">
        <v>297.628196</v>
      </c>
      <c r="J26" s="36">
        <v>335.43962099999999</v>
      </c>
      <c r="K26" s="36">
        <v>13.264321000000001</v>
      </c>
      <c r="L26" s="36">
        <v>2.6640000000000001E-3</v>
      </c>
      <c r="M26" s="36">
        <v>-1.633181</v>
      </c>
      <c r="N26" s="38">
        <f t="shared" si="1"/>
        <v>0</v>
      </c>
      <c r="O26" s="36">
        <v>-1.633181</v>
      </c>
      <c r="P26" s="39">
        <v>0</v>
      </c>
      <c r="Q26" s="39">
        <v>0</v>
      </c>
      <c r="R26" s="40">
        <f t="shared" si="2"/>
        <v>0</v>
      </c>
      <c r="S26" s="39"/>
      <c r="T26" s="41">
        <v>7256</v>
      </c>
    </row>
    <row r="27" spans="2:20" ht="15.6" x14ac:dyDescent="0.3">
      <c r="B27" s="33">
        <f t="shared" si="3"/>
        <v>7</v>
      </c>
      <c r="C27" s="33" t="s">
        <v>48</v>
      </c>
      <c r="D27" s="34" t="s">
        <v>49</v>
      </c>
      <c r="E27" s="35">
        <v>45838</v>
      </c>
      <c r="F27" s="36">
        <v>1108.3050000000001</v>
      </c>
      <c r="G27" s="37">
        <v>10</v>
      </c>
      <c r="H27" s="38">
        <f t="shared" si="0"/>
        <v>110.8305</v>
      </c>
      <c r="I27" s="36">
        <v>5738.8499400000001</v>
      </c>
      <c r="J27" s="36">
        <v>34749.383669000003</v>
      </c>
      <c r="K27" s="36">
        <v>4971.8152099999998</v>
      </c>
      <c r="L27" s="36">
        <v>3322.3573820000001</v>
      </c>
      <c r="M27" s="36">
        <v>1245.250875</v>
      </c>
      <c r="N27" s="38">
        <f t="shared" si="1"/>
        <v>343.75430999999992</v>
      </c>
      <c r="O27" s="36">
        <v>901.49656500000003</v>
      </c>
      <c r="P27" s="39">
        <v>22.5</v>
      </c>
      <c r="Q27" s="39">
        <v>0</v>
      </c>
      <c r="R27" s="40">
        <f t="shared" si="2"/>
        <v>22.5</v>
      </c>
      <c r="S27" s="39"/>
      <c r="T27" s="41">
        <v>5144</v>
      </c>
    </row>
    <row r="28" spans="2:20" ht="15.6" x14ac:dyDescent="0.3">
      <c r="B28" s="33">
        <f t="shared" si="3"/>
        <v>8</v>
      </c>
      <c r="C28" s="33" t="s">
        <v>50</v>
      </c>
      <c r="D28" s="34" t="s">
        <v>51</v>
      </c>
      <c r="E28" s="35">
        <v>45838</v>
      </c>
      <c r="F28" s="36">
        <v>216.875</v>
      </c>
      <c r="G28" s="37">
        <v>10</v>
      </c>
      <c r="H28" s="38">
        <f t="shared" si="0"/>
        <v>21.6875</v>
      </c>
      <c r="I28" s="36">
        <v>244.19586899999999</v>
      </c>
      <c r="J28" s="36">
        <v>273.83773500000001</v>
      </c>
      <c r="K28" s="36">
        <v>54.449556999999999</v>
      </c>
      <c r="L28" s="36">
        <v>5.3569999999999998E-3</v>
      </c>
      <c r="M28" s="36">
        <v>19.251141000000001</v>
      </c>
      <c r="N28" s="38">
        <f t="shared" si="1"/>
        <v>-7.5880009999999984</v>
      </c>
      <c r="O28" s="36">
        <v>26.839141999999999</v>
      </c>
      <c r="P28" s="39">
        <v>0</v>
      </c>
      <c r="Q28" s="39">
        <v>0</v>
      </c>
      <c r="R28" s="40">
        <f t="shared" si="2"/>
        <v>0</v>
      </c>
      <c r="S28" s="39"/>
      <c r="T28" s="41">
        <v>1242</v>
      </c>
    </row>
    <row r="29" spans="2:20" ht="15.6" x14ac:dyDescent="0.3">
      <c r="B29" s="33">
        <f t="shared" si="3"/>
        <v>9</v>
      </c>
      <c r="C29" s="33" t="s">
        <v>52</v>
      </c>
      <c r="D29" s="34" t="s">
        <v>53</v>
      </c>
      <c r="E29" s="35">
        <v>45838</v>
      </c>
      <c r="F29" s="36">
        <v>30</v>
      </c>
      <c r="G29" s="37">
        <v>10</v>
      </c>
      <c r="H29" s="38">
        <f t="shared" si="0"/>
        <v>3</v>
      </c>
      <c r="I29" s="36">
        <v>272.30404900000002</v>
      </c>
      <c r="J29" s="36">
        <v>678.83746199999996</v>
      </c>
      <c r="K29" s="36">
        <v>1247.4365319999999</v>
      </c>
      <c r="L29" s="36">
        <v>26.125955000000001</v>
      </c>
      <c r="M29" s="36">
        <v>95.446087000000006</v>
      </c>
      <c r="N29" s="38">
        <f t="shared" si="1"/>
        <v>0</v>
      </c>
      <c r="O29" s="36">
        <v>95.446087000000006</v>
      </c>
      <c r="P29" s="39">
        <v>150</v>
      </c>
      <c r="Q29" s="39">
        <v>0</v>
      </c>
      <c r="R29" s="40">
        <f t="shared" si="2"/>
        <v>150</v>
      </c>
      <c r="S29" s="39"/>
      <c r="T29" s="41">
        <v>220</v>
      </c>
    </row>
    <row r="30" spans="2:20" ht="15.6" x14ac:dyDescent="0.3">
      <c r="B30" s="33">
        <f t="shared" si="3"/>
        <v>10</v>
      </c>
      <c r="C30" s="33" t="s">
        <v>54</v>
      </c>
      <c r="D30" s="46" t="s">
        <v>55</v>
      </c>
      <c r="E30" s="35">
        <v>45838</v>
      </c>
      <c r="F30" s="36"/>
      <c r="G30" s="37">
        <v>10</v>
      </c>
      <c r="H30" s="38">
        <f t="shared" si="0"/>
        <v>0</v>
      </c>
      <c r="I30" s="36"/>
      <c r="J30" s="36"/>
      <c r="K30" s="36"/>
      <c r="L30" s="36"/>
      <c r="M30" s="36"/>
      <c r="N30" s="38">
        <f t="shared" si="1"/>
        <v>0</v>
      </c>
      <c r="O30" s="36"/>
      <c r="P30" s="39"/>
      <c r="Q30" s="39"/>
      <c r="R30" s="40">
        <f t="shared" si="2"/>
        <v>0</v>
      </c>
      <c r="S30" s="39"/>
      <c r="T30" s="41"/>
    </row>
    <row r="31" spans="2:20" ht="15.6" x14ac:dyDescent="0.3">
      <c r="B31" s="33">
        <f t="shared" si="3"/>
        <v>11</v>
      </c>
      <c r="C31" s="33" t="s">
        <v>56</v>
      </c>
      <c r="D31" s="34" t="s">
        <v>57</v>
      </c>
      <c r="E31" s="35">
        <v>45838</v>
      </c>
      <c r="F31" s="36">
        <v>137.88419300000001</v>
      </c>
      <c r="G31" s="37">
        <v>10</v>
      </c>
      <c r="H31" s="38">
        <f t="shared" si="0"/>
        <v>13.788419300000001</v>
      </c>
      <c r="I31" s="36">
        <v>273.89304900000002</v>
      </c>
      <c r="J31" s="36">
        <v>509.281272</v>
      </c>
      <c r="K31" s="36">
        <v>97.313863999999995</v>
      </c>
      <c r="L31" s="36">
        <v>22.145655999999999</v>
      </c>
      <c r="M31" s="36">
        <v>31.268063999999999</v>
      </c>
      <c r="N31" s="38">
        <f t="shared" si="1"/>
        <v>7.3698629999999987</v>
      </c>
      <c r="O31" s="36">
        <v>23.898201</v>
      </c>
      <c r="P31" s="39">
        <v>0</v>
      </c>
      <c r="Q31" s="39">
        <v>0</v>
      </c>
      <c r="R31" s="40">
        <f t="shared" si="2"/>
        <v>0</v>
      </c>
      <c r="S31" s="39"/>
      <c r="T31" s="41">
        <v>1227</v>
      </c>
    </row>
    <row r="32" spans="2:20" ht="15.6" x14ac:dyDescent="0.3">
      <c r="B32" s="33">
        <f t="shared" si="3"/>
        <v>12</v>
      </c>
      <c r="C32" s="33" t="s">
        <v>58</v>
      </c>
      <c r="D32" s="34" t="s">
        <v>59</v>
      </c>
      <c r="E32" s="35">
        <v>45838</v>
      </c>
      <c r="F32" s="36">
        <v>1955.9999399999999</v>
      </c>
      <c r="G32" s="37">
        <v>10</v>
      </c>
      <c r="H32" s="38">
        <f>+F32/G32</f>
        <v>195.59999399999998</v>
      </c>
      <c r="I32" s="36">
        <v>2990.5949999999998</v>
      </c>
      <c r="J32" s="36">
        <v>3693.8029999999999</v>
      </c>
      <c r="K32" s="36">
        <v>3793.4720000000002</v>
      </c>
      <c r="L32" s="36">
        <v>5.7430000000000003</v>
      </c>
      <c r="M32" s="36">
        <v>138.03200000000001</v>
      </c>
      <c r="N32" s="38">
        <f>+M32-O32</f>
        <v>20.569000000000017</v>
      </c>
      <c r="O32" s="36">
        <v>117.46299999999999</v>
      </c>
      <c r="P32" s="39">
        <v>0</v>
      </c>
      <c r="Q32" s="39">
        <v>0</v>
      </c>
      <c r="R32" s="40">
        <f>SUM(P32:Q32)</f>
        <v>0</v>
      </c>
      <c r="S32" s="39"/>
      <c r="T32" s="41">
        <v>487</v>
      </c>
    </row>
    <row r="33" spans="2:20" ht="15.6" x14ac:dyDescent="0.3">
      <c r="B33" s="33">
        <f t="shared" si="3"/>
        <v>13</v>
      </c>
      <c r="C33" s="33" t="s">
        <v>60</v>
      </c>
      <c r="D33" s="34" t="s">
        <v>61</v>
      </c>
      <c r="E33" s="35">
        <v>45838</v>
      </c>
      <c r="F33" s="36">
        <v>211.63104000000001</v>
      </c>
      <c r="G33" s="37">
        <v>10</v>
      </c>
      <c r="H33" s="38">
        <f t="shared" si="0"/>
        <v>21.163104000000001</v>
      </c>
      <c r="I33" s="36">
        <v>353.377679</v>
      </c>
      <c r="J33" s="36">
        <v>586.59607300000005</v>
      </c>
      <c r="K33" s="36">
        <v>37.570611</v>
      </c>
      <c r="L33" s="36">
        <v>2.1101990000000002</v>
      </c>
      <c r="M33" s="36">
        <v>-15.203633</v>
      </c>
      <c r="N33" s="38">
        <f t="shared" si="1"/>
        <v>-0.17374200000000073</v>
      </c>
      <c r="O33" s="36">
        <v>-15.029890999999999</v>
      </c>
      <c r="P33" s="39">
        <v>0</v>
      </c>
      <c r="Q33" s="39">
        <v>0</v>
      </c>
      <c r="R33" s="40">
        <f t="shared" si="2"/>
        <v>0</v>
      </c>
      <c r="S33" s="39"/>
      <c r="T33" s="41">
        <v>2611</v>
      </c>
    </row>
    <row r="34" spans="2:20" ht="15.6" x14ac:dyDescent="0.3">
      <c r="B34" s="33">
        <f t="shared" si="3"/>
        <v>14</v>
      </c>
      <c r="C34" s="33" t="s">
        <v>62</v>
      </c>
      <c r="D34" s="46" t="s">
        <v>63</v>
      </c>
      <c r="E34" s="35">
        <v>45838</v>
      </c>
      <c r="F34" s="36">
        <v>1293.9167600000001</v>
      </c>
      <c r="G34" s="37">
        <v>10</v>
      </c>
      <c r="H34" s="38">
        <f t="shared" si="0"/>
        <v>129.39167600000002</v>
      </c>
      <c r="I34" s="36">
        <v>749.34967700000004</v>
      </c>
      <c r="J34" s="36">
        <v>1099.019681</v>
      </c>
      <c r="K34" s="36">
        <v>150.373617</v>
      </c>
      <c r="L34" s="36">
        <v>26.752534000000001</v>
      </c>
      <c r="M34" s="36">
        <v>38.491570000000003</v>
      </c>
      <c r="N34" s="38">
        <f t="shared" si="1"/>
        <v>8.178518000000004</v>
      </c>
      <c r="O34" s="36">
        <v>30.313051999999999</v>
      </c>
      <c r="P34" s="39">
        <v>0</v>
      </c>
      <c r="Q34" s="39">
        <v>0</v>
      </c>
      <c r="R34" s="40">
        <f t="shared" si="2"/>
        <v>0</v>
      </c>
      <c r="S34" s="39">
        <v>52.6</v>
      </c>
      <c r="T34" s="41">
        <v>16182</v>
      </c>
    </row>
    <row r="35" spans="2:20" ht="15.6" x14ac:dyDescent="0.3">
      <c r="B35" s="33">
        <f t="shared" si="3"/>
        <v>15</v>
      </c>
      <c r="C35" s="33" t="s">
        <v>64</v>
      </c>
      <c r="D35" s="46" t="s">
        <v>65</v>
      </c>
      <c r="E35" s="35">
        <v>45838</v>
      </c>
      <c r="F35" s="36">
        <v>200</v>
      </c>
      <c r="G35" s="37">
        <v>10</v>
      </c>
      <c r="H35" s="38">
        <f>+F35/G35</f>
        <v>20</v>
      </c>
      <c r="I35" s="36">
        <v>219.34042500000001</v>
      </c>
      <c r="J35" s="36">
        <v>238.08277799999999</v>
      </c>
      <c r="K35" s="36">
        <v>41.742544000000002</v>
      </c>
      <c r="L35" s="36">
        <v>0</v>
      </c>
      <c r="M35" s="36">
        <v>28.415416</v>
      </c>
      <c r="N35" s="38">
        <f>+M35-O35</f>
        <v>2.7066830000000017</v>
      </c>
      <c r="O35" s="36">
        <v>25.708732999999999</v>
      </c>
      <c r="P35" s="39">
        <v>10</v>
      </c>
      <c r="Q35" s="39">
        <v>0</v>
      </c>
      <c r="R35" s="40">
        <f>SUM(P35:Q35)</f>
        <v>10</v>
      </c>
      <c r="S35" s="39"/>
      <c r="T35" s="41">
        <v>1020</v>
      </c>
    </row>
    <row r="36" spans="2:20" ht="15.6" x14ac:dyDescent="0.3">
      <c r="B36" s="33">
        <f t="shared" si="3"/>
        <v>16</v>
      </c>
      <c r="C36" s="33" t="s">
        <v>66</v>
      </c>
      <c r="D36" s="46" t="s">
        <v>67</v>
      </c>
      <c r="E36" s="35">
        <v>45838</v>
      </c>
      <c r="F36" s="36">
        <v>750</v>
      </c>
      <c r="G36" s="37">
        <v>10</v>
      </c>
      <c r="H36" s="38">
        <f>+F36/G36</f>
        <v>75</v>
      </c>
      <c r="I36" s="36">
        <v>1520.6150379999999</v>
      </c>
      <c r="J36" s="36">
        <v>2656.7167829999999</v>
      </c>
      <c r="K36" s="36">
        <v>2460.40211</v>
      </c>
      <c r="L36" s="36">
        <v>112.32926399999999</v>
      </c>
      <c r="M36" s="36">
        <v>376.694796</v>
      </c>
      <c r="N36" s="38">
        <f>+M36-O36</f>
        <v>162.70429300000001</v>
      </c>
      <c r="O36" s="36">
        <v>213.99050299999999</v>
      </c>
      <c r="P36" s="39">
        <v>12</v>
      </c>
      <c r="Q36" s="39">
        <v>0</v>
      </c>
      <c r="R36" s="40">
        <f>SUM(P36:Q36)</f>
        <v>12</v>
      </c>
      <c r="S36" s="39"/>
      <c r="T36" s="41">
        <v>710</v>
      </c>
    </row>
    <row r="37" spans="2:20" ht="15.6" x14ac:dyDescent="0.3">
      <c r="B37" s="33">
        <f t="shared" si="3"/>
        <v>17</v>
      </c>
      <c r="C37" s="33" t="s">
        <v>68</v>
      </c>
      <c r="D37" s="34" t="s">
        <v>69</v>
      </c>
      <c r="E37" s="35">
        <v>45838</v>
      </c>
      <c r="F37" s="36">
        <v>453.83530000000002</v>
      </c>
      <c r="G37" s="37">
        <v>10</v>
      </c>
      <c r="H37" s="38">
        <f t="shared" si="0"/>
        <v>45.38353</v>
      </c>
      <c r="I37" s="36">
        <v>1326.902484</v>
      </c>
      <c r="J37" s="36">
        <v>8873.7266340000006</v>
      </c>
      <c r="K37" s="36">
        <v>1889.8957800000001</v>
      </c>
      <c r="L37" s="36">
        <v>955.35761400000001</v>
      </c>
      <c r="M37" s="36">
        <v>248.45155800000001</v>
      </c>
      <c r="N37" s="38">
        <f t="shared" si="1"/>
        <v>74.374713000000014</v>
      </c>
      <c r="O37" s="36">
        <v>174.07684499999999</v>
      </c>
      <c r="P37" s="39">
        <v>25</v>
      </c>
      <c r="Q37" s="39">
        <v>0</v>
      </c>
      <c r="R37" s="40">
        <f t="shared" si="2"/>
        <v>25</v>
      </c>
      <c r="S37" s="39"/>
      <c r="T37" s="41">
        <v>8174</v>
      </c>
    </row>
    <row r="38" spans="2:20" ht="15.6" x14ac:dyDescent="0.3">
      <c r="B38" s="33">
        <f t="shared" si="3"/>
        <v>18</v>
      </c>
      <c r="C38" s="33" t="s">
        <v>70</v>
      </c>
      <c r="D38" s="34" t="s">
        <v>71</v>
      </c>
      <c r="E38" s="35">
        <v>45838</v>
      </c>
      <c r="F38" s="36">
        <v>450</v>
      </c>
      <c r="G38" s="37">
        <v>10</v>
      </c>
      <c r="H38" s="38">
        <f t="shared" si="0"/>
        <v>45</v>
      </c>
      <c r="I38" s="36">
        <v>1991.508632</v>
      </c>
      <c r="J38" s="36">
        <v>2064.8073840000002</v>
      </c>
      <c r="K38" s="36">
        <v>341.799466</v>
      </c>
      <c r="L38" s="36">
        <v>0</v>
      </c>
      <c r="M38" s="36">
        <v>236.38200900000001</v>
      </c>
      <c r="N38" s="38">
        <f t="shared" si="1"/>
        <v>56.268221000000011</v>
      </c>
      <c r="O38" s="36">
        <v>180.113788</v>
      </c>
      <c r="P38" s="39">
        <v>13.5</v>
      </c>
      <c r="Q38" s="39">
        <v>0</v>
      </c>
      <c r="R38" s="40">
        <f t="shared" si="2"/>
        <v>13.5</v>
      </c>
      <c r="S38" s="39"/>
      <c r="T38" s="41">
        <v>917</v>
      </c>
    </row>
    <row r="39" spans="2:20" ht="15.6" x14ac:dyDescent="0.3">
      <c r="B39" s="33">
        <f t="shared" si="3"/>
        <v>19</v>
      </c>
      <c r="C39" s="33" t="s">
        <v>72</v>
      </c>
      <c r="D39" s="34" t="s">
        <v>73</v>
      </c>
      <c r="E39" s="35">
        <v>45838</v>
      </c>
      <c r="F39" s="36">
        <v>298</v>
      </c>
      <c r="G39" s="37">
        <v>10</v>
      </c>
      <c r="H39" s="38">
        <f t="shared" si="0"/>
        <v>29.8</v>
      </c>
      <c r="I39" s="36">
        <v>348.75594699999999</v>
      </c>
      <c r="J39" s="36">
        <v>401.96322400000003</v>
      </c>
      <c r="K39" s="36">
        <v>72.575659999999999</v>
      </c>
      <c r="L39" s="36">
        <v>0</v>
      </c>
      <c r="M39" s="36">
        <v>23.194838000000001</v>
      </c>
      <c r="N39" s="38">
        <f t="shared" si="1"/>
        <v>4.8047400000000025</v>
      </c>
      <c r="O39" s="36">
        <v>18.390097999999998</v>
      </c>
      <c r="P39" s="39">
        <v>0</v>
      </c>
      <c r="Q39" s="39">
        <v>0</v>
      </c>
      <c r="R39" s="40">
        <f t="shared" si="2"/>
        <v>0</v>
      </c>
      <c r="S39" s="39"/>
      <c r="T39" s="41">
        <v>2734</v>
      </c>
    </row>
    <row r="40" spans="2:20" ht="15.6" x14ac:dyDescent="0.3">
      <c r="B40" s="33">
        <f t="shared" si="3"/>
        <v>20</v>
      </c>
      <c r="C40" s="33" t="s">
        <v>74</v>
      </c>
      <c r="D40" s="34" t="s">
        <v>75</v>
      </c>
      <c r="E40" s="35">
        <v>45838</v>
      </c>
      <c r="F40" s="36">
        <v>236.4</v>
      </c>
      <c r="G40" s="37">
        <v>10</v>
      </c>
      <c r="H40" s="38">
        <f>+F40/G40</f>
        <v>23.64</v>
      </c>
      <c r="I40" s="36">
        <v>53.194690000000001</v>
      </c>
      <c r="J40" s="36">
        <v>63.230361000000002</v>
      </c>
      <c r="K40" s="36">
        <v>1.9191549999999999</v>
      </c>
      <c r="L40" s="36">
        <v>0</v>
      </c>
      <c r="M40" s="36">
        <v>-0.36629099999999998</v>
      </c>
      <c r="N40" s="38">
        <f>+M40-O40</f>
        <v>0</v>
      </c>
      <c r="O40" s="36">
        <v>-0.36629099999999998</v>
      </c>
      <c r="P40" s="39">
        <v>0</v>
      </c>
      <c r="Q40" s="39">
        <v>0</v>
      </c>
      <c r="R40" s="40">
        <f>SUM(P40:Q40)</f>
        <v>0</v>
      </c>
      <c r="S40" s="39"/>
      <c r="T40" s="41"/>
    </row>
    <row r="41" spans="2:20" ht="15.6" x14ac:dyDescent="0.3">
      <c r="B41" s="28"/>
      <c r="C41" s="28"/>
      <c r="D41" s="28"/>
      <c r="E41" s="28"/>
      <c r="F41" s="28"/>
      <c r="G41" s="43"/>
      <c r="H41" s="44"/>
      <c r="I41" s="30"/>
      <c r="J41" s="30"/>
      <c r="K41" s="30"/>
      <c r="L41" s="30"/>
      <c r="M41" s="30"/>
      <c r="N41" s="45"/>
      <c r="O41" s="30"/>
      <c r="P41" s="30"/>
      <c r="Q41" s="30"/>
      <c r="R41" s="45"/>
      <c r="S41" s="30"/>
      <c r="T41" s="30"/>
    </row>
    <row r="42" spans="2:20" ht="18" x14ac:dyDescent="0.35">
      <c r="B42" s="28"/>
      <c r="C42" s="28"/>
      <c r="D42" s="42" t="s">
        <v>30</v>
      </c>
      <c r="E42" s="28"/>
      <c r="F42" s="28"/>
      <c r="G42" s="43"/>
      <c r="H42" s="44"/>
      <c r="I42" s="30"/>
      <c r="J42" s="30"/>
      <c r="K42" s="30"/>
      <c r="L42" s="30"/>
      <c r="M42" s="30"/>
      <c r="N42" s="45"/>
      <c r="O42" s="30"/>
      <c r="P42" s="30"/>
      <c r="Q42" s="30"/>
      <c r="R42" s="45"/>
      <c r="S42" s="30"/>
      <c r="T42" s="30"/>
    </row>
    <row r="43" spans="2:20" ht="15.6" x14ac:dyDescent="0.3">
      <c r="B43" s="33">
        <v>1</v>
      </c>
      <c r="C43" s="33" t="s">
        <v>76</v>
      </c>
      <c r="D43" s="34" t="s">
        <v>77</v>
      </c>
      <c r="E43" s="35">
        <v>45838</v>
      </c>
      <c r="F43" s="36"/>
      <c r="G43" s="37">
        <v>10</v>
      </c>
      <c r="H43" s="38">
        <f>+F43/G43</f>
        <v>0</v>
      </c>
      <c r="I43" s="36"/>
      <c r="J43" s="36"/>
      <c r="K43" s="36"/>
      <c r="L43" s="36"/>
      <c r="M43" s="36"/>
      <c r="N43" s="38">
        <f>+M43-O43</f>
        <v>0</v>
      </c>
      <c r="O43" s="36"/>
      <c r="P43" s="39"/>
      <c r="Q43" s="39"/>
      <c r="R43" s="40">
        <f>SUM(P43:Q43)</f>
        <v>0</v>
      </c>
      <c r="S43" s="39"/>
      <c r="T43" s="41"/>
    </row>
    <row r="44" spans="2:20" ht="15.6" x14ac:dyDescent="0.3">
      <c r="B44" s="33">
        <f>+B43+1</f>
        <v>2</v>
      </c>
      <c r="C44" s="33" t="s">
        <v>78</v>
      </c>
      <c r="D44" s="34" t="s">
        <v>79</v>
      </c>
      <c r="E44" s="35">
        <v>45838</v>
      </c>
      <c r="F44" s="36">
        <v>250</v>
      </c>
      <c r="G44" s="37">
        <v>10</v>
      </c>
      <c r="H44" s="38">
        <f>+F44/G44</f>
        <v>25</v>
      </c>
      <c r="I44" s="36">
        <v>-25.528480999999999</v>
      </c>
      <c r="J44" s="36">
        <v>425.422326</v>
      </c>
      <c r="K44" s="36">
        <v>49.138737999999996</v>
      </c>
      <c r="L44" s="36">
        <v>34.286208999999999</v>
      </c>
      <c r="M44" s="36">
        <v>-3.2628840000000001</v>
      </c>
      <c r="N44" s="38">
        <f>+M44-O44</f>
        <v>0.69674199999999997</v>
      </c>
      <c r="O44" s="36">
        <v>-3.9596260000000001</v>
      </c>
      <c r="P44" s="39">
        <v>0</v>
      </c>
      <c r="Q44" s="39">
        <v>0</v>
      </c>
      <c r="R44" s="40">
        <f>SUM(P44:Q44)</f>
        <v>0</v>
      </c>
      <c r="S44" s="39"/>
      <c r="T44" s="41">
        <v>1044</v>
      </c>
    </row>
    <row r="45" spans="2:20" ht="15.6" x14ac:dyDescent="0.3">
      <c r="B45" s="28"/>
      <c r="C45" s="28"/>
      <c r="D45" s="28"/>
      <c r="E45" s="28"/>
      <c r="F45" s="28"/>
      <c r="G45" s="43"/>
      <c r="H45" s="44"/>
      <c r="I45" s="30"/>
      <c r="J45" s="30"/>
      <c r="K45" s="30"/>
      <c r="L45" s="30"/>
      <c r="M45" s="30"/>
      <c r="N45" s="45"/>
      <c r="O45" s="30"/>
      <c r="P45" s="30"/>
      <c r="Q45" s="30"/>
      <c r="R45" s="45"/>
      <c r="S45" s="30"/>
      <c r="T45" s="30"/>
    </row>
    <row r="46" spans="2:20" s="55" customFormat="1" ht="15.6" x14ac:dyDescent="0.3">
      <c r="B46" s="47">
        <f>COUNT(B21:B45)</f>
        <v>22</v>
      </c>
      <c r="C46" s="47"/>
      <c r="D46" s="48"/>
      <c r="E46" s="48"/>
      <c r="F46" s="48">
        <f>SUM(F21:F45)</f>
        <v>8800.9368599999998</v>
      </c>
      <c r="G46" s="49"/>
      <c r="H46" s="50">
        <f>SUM(H21:H45)</f>
        <v>880.09368599999982</v>
      </c>
      <c r="I46" s="48">
        <f>SUM(I21:I45)</f>
        <v>17540.349576000001</v>
      </c>
      <c r="J46" s="48">
        <f>SUM(J21:J45)</f>
        <v>57999.551945000007</v>
      </c>
      <c r="K46" s="48">
        <f>SUM(K21:K45)</f>
        <v>15373.789423</v>
      </c>
      <c r="L46" s="48">
        <f>SUM(L21:L45)</f>
        <v>4507.2579780000005</v>
      </c>
      <c r="M46" s="48">
        <f>SUM(M21:M45)</f>
        <v>2479.0949569999998</v>
      </c>
      <c r="N46" s="51">
        <f>SUM(N21:N45)</f>
        <v>678.82638300000008</v>
      </c>
      <c r="O46" s="48">
        <f>SUM(O21:O45)</f>
        <v>1800.2685739999999</v>
      </c>
      <c r="P46" s="52"/>
      <c r="Q46" s="52"/>
      <c r="R46" s="53"/>
      <c r="S46" s="52"/>
      <c r="T46" s="54">
        <f>SUM(T21:T45)</f>
        <v>59890</v>
      </c>
    </row>
    <row r="47" spans="2:20" ht="15.6" x14ac:dyDescent="0.3">
      <c r="B47" s="28"/>
      <c r="C47" s="28"/>
      <c r="D47" s="28"/>
      <c r="E47" s="28"/>
      <c r="F47" s="28"/>
      <c r="G47" s="43"/>
      <c r="H47" s="44"/>
      <c r="I47" s="30"/>
      <c r="J47" s="30"/>
      <c r="K47" s="30"/>
      <c r="L47" s="30"/>
      <c r="M47" s="30"/>
      <c r="N47" s="45"/>
      <c r="O47" s="30"/>
      <c r="P47" s="30"/>
      <c r="Q47" s="30"/>
      <c r="R47" s="45"/>
      <c r="S47" s="30"/>
      <c r="T47" s="30"/>
    </row>
    <row r="48" spans="2:20" ht="15.6" x14ac:dyDescent="0.3">
      <c r="B48" s="28"/>
      <c r="C48" s="28"/>
      <c r="D48" s="28"/>
      <c r="E48" s="28"/>
      <c r="F48" s="28"/>
      <c r="G48" s="43"/>
      <c r="H48" s="44"/>
      <c r="I48" s="30"/>
      <c r="J48" s="30"/>
      <c r="K48" s="30"/>
      <c r="L48" s="30"/>
      <c r="M48" s="30"/>
      <c r="N48" s="45"/>
      <c r="O48" s="30"/>
      <c r="P48" s="30"/>
      <c r="Q48" s="30"/>
      <c r="R48" s="45"/>
      <c r="S48" s="30"/>
      <c r="T48" s="30"/>
    </row>
    <row r="49" spans="2:20" ht="18" x14ac:dyDescent="0.35">
      <c r="B49" s="28"/>
      <c r="C49" s="32">
        <v>3</v>
      </c>
      <c r="D49" s="32" t="s">
        <v>80</v>
      </c>
      <c r="E49" s="28"/>
      <c r="F49" s="28"/>
      <c r="G49" s="43"/>
      <c r="H49" s="44"/>
      <c r="I49" s="30"/>
      <c r="J49" s="30"/>
      <c r="K49" s="30"/>
      <c r="L49" s="30"/>
      <c r="M49" s="30"/>
      <c r="N49" s="45"/>
      <c r="O49" s="30"/>
      <c r="P49" s="30"/>
      <c r="Q49" s="30"/>
      <c r="R49" s="45"/>
      <c r="S49" s="30"/>
      <c r="T49" s="30"/>
    </row>
    <row r="50" spans="2:20" ht="15.6" x14ac:dyDescent="0.3">
      <c r="B50" s="28"/>
      <c r="C50" s="28"/>
      <c r="D50" s="28"/>
      <c r="E50" s="28"/>
      <c r="F50" s="28"/>
      <c r="G50" s="43"/>
      <c r="H50" s="44"/>
      <c r="I50" s="30"/>
      <c r="J50" s="30"/>
      <c r="K50" s="30"/>
      <c r="L50" s="30"/>
      <c r="M50" s="30"/>
      <c r="N50" s="45"/>
      <c r="O50" s="30"/>
      <c r="P50" s="30"/>
      <c r="Q50" s="30"/>
      <c r="R50" s="45"/>
      <c r="S50" s="30"/>
      <c r="T50" s="30"/>
    </row>
    <row r="51" spans="2:20" ht="15.6" x14ac:dyDescent="0.3">
      <c r="B51" s="33">
        <v>1</v>
      </c>
      <c r="C51" s="33" t="s">
        <v>81</v>
      </c>
      <c r="D51" s="34" t="s">
        <v>82</v>
      </c>
      <c r="E51" s="35">
        <v>45838</v>
      </c>
      <c r="F51" s="36">
        <v>215</v>
      </c>
      <c r="G51" s="37">
        <v>10</v>
      </c>
      <c r="H51" s="38">
        <f>+F51/G51</f>
        <v>21.5</v>
      </c>
      <c r="I51" s="36">
        <v>76.583430000000007</v>
      </c>
      <c r="J51" s="36">
        <v>317.33921400000003</v>
      </c>
      <c r="K51" s="36">
        <v>24.404219999999999</v>
      </c>
      <c r="L51" s="36">
        <v>0.29111599999999999</v>
      </c>
      <c r="M51" s="36">
        <v>6.0416800000000004</v>
      </c>
      <c r="N51" s="38">
        <f>+M51-O51</f>
        <v>0.49595900000000004</v>
      </c>
      <c r="O51" s="36">
        <v>5.5457210000000003</v>
      </c>
      <c r="P51" s="39">
        <v>0</v>
      </c>
      <c r="Q51" s="39">
        <v>0</v>
      </c>
      <c r="R51" s="40">
        <f>SUM(P51:Q51)</f>
        <v>0</v>
      </c>
      <c r="S51" s="39"/>
      <c r="T51" s="41">
        <v>415</v>
      </c>
    </row>
    <row r="52" spans="2:20" ht="15.6" x14ac:dyDescent="0.3">
      <c r="B52" s="33">
        <f>+B51+1</f>
        <v>2</v>
      </c>
      <c r="C52" s="33" t="s">
        <v>83</v>
      </c>
      <c r="D52" s="34" t="s">
        <v>84</v>
      </c>
      <c r="E52" s="35">
        <v>45838</v>
      </c>
      <c r="F52" s="36">
        <v>494.71109999999999</v>
      </c>
      <c r="G52" s="37">
        <v>10</v>
      </c>
      <c r="H52" s="38">
        <f>+F52/G52</f>
        <v>49.471109999999996</v>
      </c>
      <c r="I52" s="36">
        <v>790.96180000000004</v>
      </c>
      <c r="J52" s="36">
        <v>1446.3261399999999</v>
      </c>
      <c r="K52" s="36">
        <v>222.46427199999999</v>
      </c>
      <c r="L52" s="36">
        <v>39.37236</v>
      </c>
      <c r="M52" s="36">
        <v>105.006237</v>
      </c>
      <c r="N52" s="38">
        <f>+M52-O52</f>
        <v>31.401927000000001</v>
      </c>
      <c r="O52" s="36">
        <v>73.604309999999998</v>
      </c>
      <c r="P52" s="39">
        <f>22+17.5</f>
        <v>39.5</v>
      </c>
      <c r="Q52" s="39">
        <v>0</v>
      </c>
      <c r="R52" s="40">
        <f>SUM(P52:Q52)</f>
        <v>39.5</v>
      </c>
      <c r="S52" s="39"/>
      <c r="T52" s="41">
        <v>497</v>
      </c>
    </row>
    <row r="53" spans="2:20" ht="15.6" x14ac:dyDescent="0.3">
      <c r="B53" s="28"/>
      <c r="C53" s="28"/>
      <c r="D53" s="28"/>
      <c r="E53" s="28"/>
      <c r="F53" s="28"/>
      <c r="G53" s="43"/>
      <c r="H53" s="44"/>
      <c r="I53" s="30"/>
      <c r="J53" s="30"/>
      <c r="K53" s="30"/>
      <c r="L53" s="30"/>
      <c r="M53" s="30"/>
      <c r="N53" s="45"/>
      <c r="O53" s="30"/>
      <c r="P53" s="30"/>
      <c r="Q53" s="30"/>
      <c r="R53" s="45"/>
      <c r="S53" s="30"/>
      <c r="T53" s="30"/>
    </row>
    <row r="54" spans="2:20" ht="18" x14ac:dyDescent="0.35">
      <c r="B54" s="28"/>
      <c r="C54" s="28"/>
      <c r="D54" s="56" t="s">
        <v>30</v>
      </c>
      <c r="E54" s="28"/>
      <c r="F54" s="28"/>
      <c r="G54" s="43"/>
      <c r="H54" s="44"/>
      <c r="I54" s="30"/>
      <c r="J54" s="30"/>
      <c r="K54" s="30"/>
      <c r="L54" s="30"/>
      <c r="M54" s="30"/>
      <c r="N54" s="45"/>
      <c r="O54" s="30"/>
      <c r="P54" s="30"/>
      <c r="Q54" s="30"/>
      <c r="R54" s="45"/>
      <c r="S54" s="30"/>
      <c r="T54" s="30"/>
    </row>
    <row r="55" spans="2:20" ht="15.6" x14ac:dyDescent="0.3">
      <c r="B55" s="33">
        <v>1</v>
      </c>
      <c r="C55" s="33" t="s">
        <v>85</v>
      </c>
      <c r="D55" s="34" t="s">
        <v>86</v>
      </c>
      <c r="E55" s="35">
        <v>45838</v>
      </c>
      <c r="F55" s="36"/>
      <c r="G55" s="37">
        <v>10</v>
      </c>
      <c r="H55" s="38">
        <f>+F55/G55</f>
        <v>0</v>
      </c>
      <c r="I55" s="36"/>
      <c r="J55" s="36"/>
      <c r="K55" s="36"/>
      <c r="L55" s="36"/>
      <c r="M55" s="36"/>
      <c r="N55" s="38">
        <f>+M55-O55</f>
        <v>0</v>
      </c>
      <c r="O55" s="36"/>
      <c r="P55" s="39"/>
      <c r="Q55" s="39"/>
      <c r="R55" s="40">
        <f>SUM(P55:Q55)</f>
        <v>0</v>
      </c>
      <c r="S55" s="39"/>
      <c r="T55" s="41"/>
    </row>
    <row r="56" spans="2:20" ht="15.6" x14ac:dyDescent="0.3">
      <c r="B56" s="33">
        <f>+B55+1</f>
        <v>2</v>
      </c>
      <c r="C56" s="33" t="s">
        <v>87</v>
      </c>
      <c r="D56" s="34" t="s">
        <v>88</v>
      </c>
      <c r="E56" s="35">
        <v>45838</v>
      </c>
      <c r="F56" s="36"/>
      <c r="G56" s="37">
        <v>10</v>
      </c>
      <c r="H56" s="38">
        <f>+F56/G56</f>
        <v>0</v>
      </c>
      <c r="I56" s="36"/>
      <c r="J56" s="36"/>
      <c r="K56" s="36"/>
      <c r="L56" s="36"/>
      <c r="M56" s="36"/>
      <c r="N56" s="38">
        <f>+M56-O56</f>
        <v>0</v>
      </c>
      <c r="O56" s="36"/>
      <c r="P56" s="39"/>
      <c r="Q56" s="39"/>
      <c r="R56" s="40">
        <f>SUM(P56:Q56)</f>
        <v>0</v>
      </c>
      <c r="S56" s="39"/>
      <c r="T56" s="41"/>
    </row>
    <row r="57" spans="2:20" ht="15.6" x14ac:dyDescent="0.3">
      <c r="B57" s="33">
        <f>+B56+1</f>
        <v>3</v>
      </c>
      <c r="C57" s="33" t="s">
        <v>89</v>
      </c>
      <c r="D57" s="34" t="s">
        <v>90</v>
      </c>
      <c r="E57" s="35">
        <v>45838</v>
      </c>
      <c r="F57" s="36">
        <v>363</v>
      </c>
      <c r="G57" s="37">
        <v>10</v>
      </c>
      <c r="H57" s="38">
        <f>+F57/G57</f>
        <v>36.299999999999997</v>
      </c>
      <c r="I57" s="36">
        <v>42.770601999999997</v>
      </c>
      <c r="J57" s="36">
        <v>537.05564200000003</v>
      </c>
      <c r="K57" s="36">
        <v>16.087821999999999</v>
      </c>
      <c r="L57" s="36">
        <v>2.1092E-2</v>
      </c>
      <c r="M57" s="36">
        <v>-3.1212309999999999</v>
      </c>
      <c r="N57" s="38">
        <f>+M57-O57</f>
        <v>0</v>
      </c>
      <c r="O57" s="36">
        <v>-3.1212309999999999</v>
      </c>
      <c r="P57" s="39">
        <v>0</v>
      </c>
      <c r="Q57" s="39">
        <v>0</v>
      </c>
      <c r="R57" s="40">
        <f>SUM(P57:Q57)</f>
        <v>0</v>
      </c>
      <c r="S57" s="39"/>
      <c r="T57" s="41">
        <v>404</v>
      </c>
    </row>
    <row r="58" spans="2:20" ht="15.6" x14ac:dyDescent="0.3">
      <c r="B58" s="33">
        <f>+B57+1</f>
        <v>4</v>
      </c>
      <c r="C58" s="33" t="s">
        <v>91</v>
      </c>
      <c r="D58" s="34" t="s">
        <v>92</v>
      </c>
      <c r="E58" s="35">
        <v>46022</v>
      </c>
      <c r="F58" s="36"/>
      <c r="G58" s="37">
        <v>10</v>
      </c>
      <c r="H58" s="38">
        <f>+F58/G58</f>
        <v>0</v>
      </c>
      <c r="I58" s="36"/>
      <c r="J58" s="36"/>
      <c r="K58" s="36"/>
      <c r="L58" s="36"/>
      <c r="M58" s="36"/>
      <c r="N58" s="38">
        <f>+M58-O58</f>
        <v>0</v>
      </c>
      <c r="O58" s="36"/>
      <c r="P58" s="39"/>
      <c r="Q58" s="39"/>
      <c r="R58" s="40">
        <f>SUM(P58:Q58)</f>
        <v>0</v>
      </c>
      <c r="S58" s="39"/>
      <c r="T58" s="41"/>
    </row>
    <row r="59" spans="2:20" ht="15.6" x14ac:dyDescent="0.3">
      <c r="B59" s="33">
        <f>+B58+1</f>
        <v>5</v>
      </c>
      <c r="C59" s="33" t="s">
        <v>93</v>
      </c>
      <c r="D59" s="34" t="s">
        <v>94</v>
      </c>
      <c r="E59" s="35">
        <v>45838</v>
      </c>
      <c r="F59" s="36">
        <v>451.60500000000002</v>
      </c>
      <c r="G59" s="37">
        <v>10</v>
      </c>
      <c r="H59" s="38">
        <f>+F59/G59</f>
        <v>45.160499999999999</v>
      </c>
      <c r="I59" s="36">
        <v>-399.17607600000002</v>
      </c>
      <c r="J59" s="36">
        <v>686.03230299999996</v>
      </c>
      <c r="K59" s="36">
        <v>102.040887</v>
      </c>
      <c r="L59" s="36">
        <v>29.018343000000002</v>
      </c>
      <c r="M59" s="36">
        <v>44.958725000000001</v>
      </c>
      <c r="N59" s="38">
        <f>+M59-O59</f>
        <v>0.79825300000000254</v>
      </c>
      <c r="O59" s="36">
        <v>44.160471999999999</v>
      </c>
      <c r="P59" s="39">
        <v>0</v>
      </c>
      <c r="Q59" s="39">
        <v>0</v>
      </c>
      <c r="R59" s="40">
        <f>SUM(P59:Q59)</f>
        <v>0</v>
      </c>
      <c r="S59" s="39"/>
      <c r="T59" s="41"/>
    </row>
    <row r="60" spans="2:20" ht="15.6" x14ac:dyDescent="0.3">
      <c r="B60" s="28"/>
      <c r="C60" s="28"/>
      <c r="D60" s="28"/>
      <c r="E60" s="28"/>
      <c r="F60" s="28"/>
      <c r="G60" s="43"/>
      <c r="H60" s="44"/>
      <c r="I60" s="30"/>
      <c r="J60" s="30"/>
      <c r="K60" s="30"/>
      <c r="L60" s="30"/>
      <c r="M60" s="30"/>
      <c r="N60" s="45"/>
      <c r="O60" s="30"/>
      <c r="P60" s="30"/>
      <c r="Q60" s="30"/>
      <c r="R60" s="45"/>
      <c r="S60" s="30"/>
      <c r="T60" s="30"/>
    </row>
    <row r="61" spans="2:20" ht="15.6" x14ac:dyDescent="0.3">
      <c r="B61" s="47">
        <f>COUNT(B51:B60)</f>
        <v>7</v>
      </c>
      <c r="C61" s="47"/>
      <c r="D61" s="48"/>
      <c r="E61" s="48"/>
      <c r="F61" s="48">
        <f>SUM(F51:F60)</f>
        <v>1524.3161</v>
      </c>
      <c r="G61" s="49"/>
      <c r="H61" s="50">
        <f>SUM(H51:H60)</f>
        <v>152.43160999999998</v>
      </c>
      <c r="I61" s="48">
        <f>SUM(I51:I60)</f>
        <v>511.13975599999998</v>
      </c>
      <c r="J61" s="48">
        <f>SUM(J51:J60)</f>
        <v>2986.753299</v>
      </c>
      <c r="K61" s="48">
        <f>SUM(K51:K60)</f>
        <v>364.99720100000002</v>
      </c>
      <c r="L61" s="48">
        <f>SUM(L51:L60)</f>
        <v>68.702911</v>
      </c>
      <c r="M61" s="48">
        <f>SUM(M51:M60)</f>
        <v>152.885411</v>
      </c>
      <c r="N61" s="51">
        <f>SUM(N51:N60)</f>
        <v>32.696139000000002</v>
      </c>
      <c r="O61" s="48">
        <f>SUM(O51:O60)</f>
        <v>120.189272</v>
      </c>
      <c r="P61" s="52"/>
      <c r="Q61" s="52"/>
      <c r="R61" s="53"/>
      <c r="S61" s="52"/>
      <c r="T61" s="54">
        <f>SUM(T51:T60)</f>
        <v>1316</v>
      </c>
    </row>
    <row r="62" spans="2:20" ht="15.6" x14ac:dyDescent="0.3">
      <c r="B62" s="28"/>
      <c r="C62" s="28"/>
      <c r="D62" s="28"/>
      <c r="E62" s="28"/>
      <c r="F62" s="28"/>
      <c r="G62" s="43"/>
      <c r="H62" s="44"/>
      <c r="I62" s="30"/>
      <c r="J62" s="30"/>
      <c r="K62" s="30"/>
      <c r="L62" s="30"/>
      <c r="M62" s="30"/>
      <c r="N62" s="45"/>
      <c r="O62" s="30"/>
      <c r="P62" s="30"/>
      <c r="Q62" s="30"/>
      <c r="R62" s="45"/>
      <c r="S62" s="30"/>
      <c r="T62" s="30"/>
    </row>
    <row r="63" spans="2:20" ht="15.6" x14ac:dyDescent="0.3">
      <c r="B63" s="28"/>
      <c r="C63" s="28"/>
      <c r="D63" s="28"/>
      <c r="E63" s="28"/>
      <c r="F63" s="28"/>
      <c r="G63" s="43"/>
      <c r="H63" s="44"/>
      <c r="I63" s="30"/>
      <c r="J63" s="30"/>
      <c r="K63" s="30"/>
      <c r="L63" s="30"/>
      <c r="M63" s="30"/>
      <c r="N63" s="45"/>
      <c r="O63" s="30"/>
      <c r="P63" s="30"/>
      <c r="Q63" s="30"/>
      <c r="R63" s="45"/>
      <c r="S63" s="30"/>
      <c r="T63" s="30"/>
    </row>
    <row r="64" spans="2:20" ht="18" x14ac:dyDescent="0.35">
      <c r="B64" s="28"/>
      <c r="C64" s="32">
        <v>4</v>
      </c>
      <c r="D64" s="57" t="s">
        <v>95</v>
      </c>
      <c r="E64" s="58"/>
      <c r="F64" s="59"/>
      <c r="G64" s="43"/>
      <c r="H64" s="44"/>
      <c r="I64" s="30"/>
      <c r="J64" s="30"/>
      <c r="K64" s="30"/>
      <c r="L64" s="30"/>
      <c r="M64" s="30"/>
      <c r="N64" s="45"/>
      <c r="O64" s="30"/>
      <c r="P64" s="30"/>
      <c r="Q64" s="30"/>
      <c r="R64" s="45"/>
      <c r="S64" s="30"/>
      <c r="T64" s="30"/>
    </row>
    <row r="65" spans="2:20" ht="15.6" x14ac:dyDescent="0.3">
      <c r="B65" s="28"/>
      <c r="C65" s="28"/>
      <c r="D65" s="28"/>
      <c r="E65" s="28"/>
      <c r="F65" s="28"/>
      <c r="G65" s="43"/>
      <c r="H65" s="44"/>
      <c r="I65" s="30"/>
      <c r="J65" s="30"/>
      <c r="K65" s="30"/>
      <c r="L65" s="30"/>
      <c r="M65" s="30"/>
      <c r="N65" s="45"/>
      <c r="O65" s="30"/>
      <c r="P65" s="30"/>
      <c r="Q65" s="30"/>
      <c r="R65" s="45"/>
      <c r="S65" s="30"/>
      <c r="T65" s="30"/>
    </row>
    <row r="66" spans="2:20" ht="15.6" x14ac:dyDescent="0.3">
      <c r="B66" s="33">
        <v>1</v>
      </c>
      <c r="C66" s="33">
        <v>786</v>
      </c>
      <c r="D66" s="34" t="s">
        <v>96</v>
      </c>
      <c r="E66" s="35">
        <v>45838</v>
      </c>
      <c r="F66" s="36">
        <v>149.73750000000001</v>
      </c>
      <c r="G66" s="37">
        <v>10</v>
      </c>
      <c r="H66" s="38">
        <f t="shared" ref="H66:H95" si="4">+F66/G66</f>
        <v>14.973750000000001</v>
      </c>
      <c r="I66" s="36">
        <v>271.75959499999999</v>
      </c>
      <c r="J66" s="36">
        <v>299.26351199999999</v>
      </c>
      <c r="K66" s="36">
        <v>81.246419000000003</v>
      </c>
      <c r="L66" s="36">
        <v>2.0724360000000002</v>
      </c>
      <c r="M66" s="36">
        <v>38.000236000000001</v>
      </c>
      <c r="N66" s="38">
        <f t="shared" ref="N66:N95" si="5">+M66-O66</f>
        <v>2.5822070000000039</v>
      </c>
      <c r="O66" s="36">
        <v>35.418028999999997</v>
      </c>
      <c r="P66" s="39">
        <v>0</v>
      </c>
      <c r="Q66" s="39">
        <v>0</v>
      </c>
      <c r="R66" s="40">
        <f t="shared" ref="R66:R95" si="6">SUM(P66:Q66)</f>
        <v>0</v>
      </c>
      <c r="S66" s="39">
        <v>33.33</v>
      </c>
      <c r="T66" s="41">
        <v>910</v>
      </c>
    </row>
    <row r="67" spans="2:20" ht="15.6" x14ac:dyDescent="0.3">
      <c r="B67" s="33">
        <f>+B66+1</f>
        <v>2</v>
      </c>
      <c r="C67" s="33" t="s">
        <v>97</v>
      </c>
      <c r="D67" s="34" t="s">
        <v>98</v>
      </c>
      <c r="E67" s="35">
        <v>45838</v>
      </c>
      <c r="F67" s="36">
        <v>653.4</v>
      </c>
      <c r="G67" s="37">
        <v>10</v>
      </c>
      <c r="H67" s="38">
        <f t="shared" si="4"/>
        <v>65.34</v>
      </c>
      <c r="I67" s="36">
        <v>1925.7437279999999</v>
      </c>
      <c r="J67" s="36">
        <v>7177.154031</v>
      </c>
      <c r="K67" s="36">
        <v>2642.1860830000001</v>
      </c>
      <c r="L67" s="36">
        <v>85.567143999999999</v>
      </c>
      <c r="M67" s="36">
        <v>1348.6240620000001</v>
      </c>
      <c r="N67" s="38">
        <f t="shared" si="5"/>
        <v>369.36207400000012</v>
      </c>
      <c r="O67" s="36">
        <v>979.26198799999997</v>
      </c>
      <c r="P67" s="39">
        <v>100</v>
      </c>
      <c r="Q67" s="39">
        <v>0</v>
      </c>
      <c r="R67" s="40">
        <f t="shared" si="6"/>
        <v>100</v>
      </c>
      <c r="S67" s="39"/>
      <c r="T67" s="41">
        <v>3062</v>
      </c>
    </row>
    <row r="68" spans="2:20" ht="15.6" x14ac:dyDescent="0.3">
      <c r="B68" s="33">
        <f>+B67+1</f>
        <v>3</v>
      </c>
      <c r="C68" s="33" t="s">
        <v>99</v>
      </c>
      <c r="D68" s="34" t="s">
        <v>100</v>
      </c>
      <c r="E68" s="35">
        <v>45838</v>
      </c>
      <c r="F68" s="36">
        <v>5578.3417099999997</v>
      </c>
      <c r="G68" s="37">
        <v>10</v>
      </c>
      <c r="H68" s="38">
        <f t="shared" si="4"/>
        <v>557.83417099999997</v>
      </c>
      <c r="I68" s="36">
        <v>11993.997364999999</v>
      </c>
      <c r="J68" s="36">
        <v>20044.766071999999</v>
      </c>
      <c r="K68" s="36">
        <v>5451.9282089999997</v>
      </c>
      <c r="L68" s="36">
        <v>88.265242999999998</v>
      </c>
      <c r="M68" s="36">
        <v>4129.3496340000002</v>
      </c>
      <c r="N68" s="38">
        <f t="shared" si="5"/>
        <v>973.01401000000033</v>
      </c>
      <c r="O68" s="36">
        <v>3156.3356239999998</v>
      </c>
      <c r="P68" s="39">
        <f>10+10</f>
        <v>20</v>
      </c>
      <c r="Q68" s="39">
        <v>0</v>
      </c>
      <c r="R68" s="40">
        <f t="shared" si="6"/>
        <v>20</v>
      </c>
      <c r="S68" s="39"/>
      <c r="T68" s="41">
        <v>4802</v>
      </c>
    </row>
    <row r="69" spans="2:20" ht="15.6" x14ac:dyDescent="0.3">
      <c r="B69" s="33">
        <f>+B68+1</f>
        <v>4</v>
      </c>
      <c r="C69" s="33" t="s">
        <v>101</v>
      </c>
      <c r="D69" s="34" t="s">
        <v>102</v>
      </c>
      <c r="E69" s="35">
        <v>46022</v>
      </c>
      <c r="F69" s="36"/>
      <c r="G69" s="37">
        <v>10</v>
      </c>
      <c r="H69" s="38">
        <f>+F69/G69</f>
        <v>0</v>
      </c>
      <c r="I69" s="36"/>
      <c r="J69" s="36"/>
      <c r="K69" s="36"/>
      <c r="L69" s="36"/>
      <c r="M69" s="36"/>
      <c r="N69" s="38">
        <f>+M69-O69</f>
        <v>0</v>
      </c>
      <c r="O69" s="36"/>
      <c r="P69" s="39"/>
      <c r="Q69" s="39"/>
      <c r="R69" s="40">
        <f>SUM(P69:Q69)</f>
        <v>0</v>
      </c>
      <c r="S69" s="39"/>
      <c r="T69" s="41"/>
    </row>
    <row r="70" spans="2:20" ht="15.6" x14ac:dyDescent="0.3">
      <c r="B70" s="33">
        <f>+B69+1</f>
        <v>5</v>
      </c>
      <c r="C70" s="33" t="s">
        <v>103</v>
      </c>
      <c r="D70" s="34" t="s">
        <v>104</v>
      </c>
      <c r="E70" s="35">
        <v>46022</v>
      </c>
      <c r="F70" s="36">
        <v>615.58963000000006</v>
      </c>
      <c r="G70" s="37">
        <v>10</v>
      </c>
      <c r="H70" s="38">
        <f t="shared" si="4"/>
        <v>61.558963000000006</v>
      </c>
      <c r="I70" s="36"/>
      <c r="J70" s="36"/>
      <c r="K70" s="36"/>
      <c r="L70" s="36"/>
      <c r="M70" s="36"/>
      <c r="N70" s="38">
        <f t="shared" si="5"/>
        <v>0</v>
      </c>
      <c r="O70" s="36"/>
      <c r="P70" s="39">
        <f>40</f>
        <v>40</v>
      </c>
      <c r="Q70" s="39"/>
      <c r="R70" s="40">
        <f t="shared" si="6"/>
        <v>40</v>
      </c>
      <c r="S70" s="39"/>
      <c r="T70" s="41"/>
    </row>
    <row r="71" spans="2:20" ht="16.5" customHeight="1" x14ac:dyDescent="0.3">
      <c r="B71" s="33">
        <f t="shared" ref="B71:B95" si="7">+B70+1</f>
        <v>6</v>
      </c>
      <c r="C71" s="33" t="s">
        <v>105</v>
      </c>
      <c r="D71" s="34" t="s">
        <v>106</v>
      </c>
      <c r="E71" s="35">
        <v>45838</v>
      </c>
      <c r="F71" s="36">
        <v>107.44413</v>
      </c>
      <c r="G71" s="37">
        <v>10</v>
      </c>
      <c r="H71" s="38">
        <f>+F71/G71</f>
        <v>10.744413</v>
      </c>
      <c r="I71" s="36">
        <v>298.73220199999997</v>
      </c>
      <c r="J71" s="36">
        <v>312.59572600000001</v>
      </c>
      <c r="K71" s="36">
        <v>25.890260999999999</v>
      </c>
      <c r="L71" s="36">
        <v>1.725E-3</v>
      </c>
      <c r="M71" s="36">
        <v>15.208002</v>
      </c>
      <c r="N71" s="38">
        <f>+M71-O71</f>
        <v>4.7340340000000012</v>
      </c>
      <c r="O71" s="36">
        <v>10.473967999999999</v>
      </c>
      <c r="P71" s="39">
        <v>0</v>
      </c>
      <c r="Q71" s="39">
        <v>0</v>
      </c>
      <c r="R71" s="40">
        <f>SUM(P71:Q71)</f>
        <v>0</v>
      </c>
      <c r="S71" s="39"/>
      <c r="T71" s="41">
        <v>879</v>
      </c>
    </row>
    <row r="72" spans="2:20" ht="15.6" x14ac:dyDescent="0.3">
      <c r="B72" s="33">
        <f t="shared" si="7"/>
        <v>7</v>
      </c>
      <c r="C72" s="33" t="s">
        <v>107</v>
      </c>
      <c r="D72" s="34" t="s">
        <v>108</v>
      </c>
      <c r="E72" s="35">
        <v>45838</v>
      </c>
      <c r="F72" s="36">
        <v>275</v>
      </c>
      <c r="G72" s="37">
        <v>10</v>
      </c>
      <c r="H72" s="38">
        <f t="shared" si="4"/>
        <v>27.5</v>
      </c>
      <c r="I72" s="36">
        <v>370.59376099999997</v>
      </c>
      <c r="J72" s="36">
        <v>794.06997899999999</v>
      </c>
      <c r="K72" s="36">
        <v>232.29145299999999</v>
      </c>
      <c r="L72" s="36">
        <v>7.8827670000000003</v>
      </c>
      <c r="M72" s="36">
        <v>70.587470999999994</v>
      </c>
      <c r="N72" s="38">
        <f t="shared" si="5"/>
        <v>20.017852999999995</v>
      </c>
      <c r="O72" s="36">
        <v>50.569617999999998</v>
      </c>
      <c r="P72" s="39">
        <v>0</v>
      </c>
      <c r="Q72" s="39">
        <v>0</v>
      </c>
      <c r="R72" s="40">
        <f t="shared" si="6"/>
        <v>0</v>
      </c>
      <c r="S72" s="39"/>
      <c r="T72" s="41">
        <v>2585</v>
      </c>
    </row>
    <row r="73" spans="2:20" ht="15.6" x14ac:dyDescent="0.3">
      <c r="B73" s="33">
        <f t="shared" si="7"/>
        <v>8</v>
      </c>
      <c r="C73" s="60" t="s">
        <v>109</v>
      </c>
      <c r="D73" s="34" t="s">
        <v>110</v>
      </c>
      <c r="E73" s="35">
        <v>46022</v>
      </c>
      <c r="F73" s="36"/>
      <c r="G73" s="37">
        <v>10</v>
      </c>
      <c r="H73" s="38">
        <f>+F73/G73</f>
        <v>0</v>
      </c>
      <c r="I73" s="36"/>
      <c r="J73" s="36"/>
      <c r="K73" s="36"/>
      <c r="L73" s="36"/>
      <c r="M73" s="36"/>
      <c r="N73" s="38">
        <f>+M73-O73</f>
        <v>0</v>
      </c>
      <c r="O73" s="36"/>
      <c r="P73" s="39"/>
      <c r="Q73" s="39"/>
      <c r="R73" s="40">
        <f>SUM(P73:Q73)</f>
        <v>0</v>
      </c>
      <c r="S73" s="39"/>
      <c r="T73" s="41"/>
    </row>
    <row r="74" spans="2:20" ht="15.6" x14ac:dyDescent="0.3">
      <c r="B74" s="33">
        <f t="shared" si="7"/>
        <v>9</v>
      </c>
      <c r="C74" s="60" t="s">
        <v>111</v>
      </c>
      <c r="D74" s="34" t="s">
        <v>112</v>
      </c>
      <c r="E74" s="35">
        <v>46022</v>
      </c>
      <c r="F74" s="36">
        <v>4812.8711599999997</v>
      </c>
      <c r="G74" s="37">
        <v>10</v>
      </c>
      <c r="H74" s="38">
        <f>+F74/G74</f>
        <v>481.28711599999997</v>
      </c>
      <c r="I74" s="36"/>
      <c r="J74" s="36"/>
      <c r="K74" s="36"/>
      <c r="L74" s="36"/>
      <c r="M74" s="36"/>
      <c r="N74" s="38">
        <f>+M74-O74</f>
        <v>0</v>
      </c>
      <c r="O74" s="36"/>
      <c r="P74" s="39">
        <f>9+10</f>
        <v>19</v>
      </c>
      <c r="Q74" s="39"/>
      <c r="R74" s="40">
        <f>SUM(P74:Q74)</f>
        <v>19</v>
      </c>
      <c r="S74" s="39"/>
      <c r="T74" s="41"/>
    </row>
    <row r="75" spans="2:20" ht="15.6" x14ac:dyDescent="0.3">
      <c r="B75" s="33">
        <f t="shared" si="7"/>
        <v>10</v>
      </c>
      <c r="C75" s="60" t="s">
        <v>113</v>
      </c>
      <c r="D75" s="34" t="s">
        <v>114</v>
      </c>
      <c r="E75" s="35">
        <v>46022</v>
      </c>
      <c r="F75" s="36"/>
      <c r="G75" s="37">
        <v>10</v>
      </c>
      <c r="H75" s="38">
        <f>+F75/G75</f>
        <v>0</v>
      </c>
      <c r="I75" s="36"/>
      <c r="J75" s="36"/>
      <c r="K75" s="36"/>
      <c r="L75" s="36"/>
      <c r="M75" s="36"/>
      <c r="N75" s="38">
        <f>+M75-O75</f>
        <v>0</v>
      </c>
      <c r="O75" s="36"/>
      <c r="P75" s="39"/>
      <c r="Q75" s="39"/>
      <c r="R75" s="40">
        <f>SUM(P75:Q75)</f>
        <v>0</v>
      </c>
      <c r="S75" s="39"/>
      <c r="T75" s="41"/>
    </row>
    <row r="76" spans="2:20" ht="15.6" x14ac:dyDescent="0.3">
      <c r="B76" s="33">
        <f t="shared" si="7"/>
        <v>11</v>
      </c>
      <c r="C76" s="33" t="s">
        <v>115</v>
      </c>
      <c r="D76" s="34" t="s">
        <v>116</v>
      </c>
      <c r="E76" s="35">
        <v>45838</v>
      </c>
      <c r="F76" s="36">
        <v>1287.5102400000001</v>
      </c>
      <c r="G76" s="37">
        <v>1</v>
      </c>
      <c r="H76" s="38">
        <f t="shared" si="4"/>
        <v>1287.5102400000001</v>
      </c>
      <c r="I76" s="36">
        <v>1501.456461</v>
      </c>
      <c r="J76" s="36">
        <v>3362.260342</v>
      </c>
      <c r="K76" s="36">
        <v>633.48657000000003</v>
      </c>
      <c r="L76" s="36">
        <v>35.135486</v>
      </c>
      <c r="M76" s="36">
        <v>218.727317</v>
      </c>
      <c r="N76" s="38">
        <f t="shared" si="5"/>
        <v>63.355739999999997</v>
      </c>
      <c r="O76" s="36">
        <v>155.371577</v>
      </c>
      <c r="P76" s="39">
        <f>20</f>
        <v>20</v>
      </c>
      <c r="Q76" s="39">
        <v>0</v>
      </c>
      <c r="R76" s="40">
        <f t="shared" si="6"/>
        <v>20</v>
      </c>
      <c r="S76" s="39"/>
      <c r="T76" s="41">
        <v>2797</v>
      </c>
    </row>
    <row r="77" spans="2:20" ht="15.6" x14ac:dyDescent="0.3">
      <c r="B77" s="33">
        <f t="shared" si="7"/>
        <v>12</v>
      </c>
      <c r="C77" s="33" t="s">
        <v>117</v>
      </c>
      <c r="D77" s="34" t="s">
        <v>118</v>
      </c>
      <c r="E77" s="35">
        <v>45838</v>
      </c>
      <c r="F77" s="36">
        <v>1356</v>
      </c>
      <c r="G77" s="37">
        <v>10</v>
      </c>
      <c r="H77" s="38">
        <f t="shared" si="4"/>
        <v>135.6</v>
      </c>
      <c r="I77" s="36">
        <v>502.58401199999997</v>
      </c>
      <c r="J77" s="36">
        <v>660.79836399999999</v>
      </c>
      <c r="K77" s="36">
        <v>108.37757000000001</v>
      </c>
      <c r="L77" s="36">
        <v>5.2006569999999996</v>
      </c>
      <c r="M77" s="36">
        <v>-65.605602000000005</v>
      </c>
      <c r="N77" s="38">
        <f t="shared" si="5"/>
        <v>2.7980000000000018</v>
      </c>
      <c r="O77" s="36">
        <v>-68.403602000000006</v>
      </c>
      <c r="P77" s="39">
        <v>0</v>
      </c>
      <c r="Q77" s="39">
        <v>0</v>
      </c>
      <c r="R77" s="40">
        <f t="shared" si="6"/>
        <v>0</v>
      </c>
      <c r="S77" s="39"/>
      <c r="T77" s="41">
        <v>819</v>
      </c>
    </row>
    <row r="78" spans="2:20" ht="15.6" x14ac:dyDescent="0.3">
      <c r="B78" s="33">
        <f t="shared" si="7"/>
        <v>13</v>
      </c>
      <c r="C78" s="33" t="s">
        <v>119</v>
      </c>
      <c r="D78" s="34" t="s">
        <v>120</v>
      </c>
      <c r="E78" s="35">
        <v>45838</v>
      </c>
      <c r="F78" s="36">
        <v>650</v>
      </c>
      <c r="G78" s="37">
        <v>10</v>
      </c>
      <c r="H78" s="38">
        <f t="shared" si="4"/>
        <v>65</v>
      </c>
      <c r="I78" s="36">
        <v>875.46860400000003</v>
      </c>
      <c r="J78" s="36">
        <v>4113.8173340000003</v>
      </c>
      <c r="K78" s="36">
        <v>602.16110400000002</v>
      </c>
      <c r="L78" s="36">
        <v>461.79912200000001</v>
      </c>
      <c r="M78" s="36">
        <v>62.329701999999997</v>
      </c>
      <c r="N78" s="38">
        <f t="shared" si="5"/>
        <v>6.0642499999999941</v>
      </c>
      <c r="O78" s="36">
        <v>56.265452000000003</v>
      </c>
      <c r="P78" s="39">
        <v>0</v>
      </c>
      <c r="Q78" s="39">
        <v>0</v>
      </c>
      <c r="R78" s="40">
        <f t="shared" si="6"/>
        <v>0</v>
      </c>
      <c r="S78" s="39"/>
      <c r="T78" s="41">
        <v>1122</v>
      </c>
    </row>
    <row r="79" spans="2:20" ht="15.6" x14ac:dyDescent="0.3">
      <c r="B79" s="33">
        <f t="shared" si="7"/>
        <v>14</v>
      </c>
      <c r="C79" s="33" t="s">
        <v>121</v>
      </c>
      <c r="D79" s="34" t="s">
        <v>122</v>
      </c>
      <c r="E79" s="35">
        <v>45838</v>
      </c>
      <c r="F79" s="36">
        <v>3166.1011199999998</v>
      </c>
      <c r="G79" s="37">
        <v>10</v>
      </c>
      <c r="H79" s="38">
        <f t="shared" si="4"/>
        <v>316.61011199999996</v>
      </c>
      <c r="I79" s="36">
        <v>3161.5048409999999</v>
      </c>
      <c r="J79" s="36">
        <f>6768.880922+52.651715</f>
        <v>6821.5326370000002</v>
      </c>
      <c r="K79" s="36">
        <v>1521.7709239999999</v>
      </c>
      <c r="L79" s="36">
        <v>319.37530700000002</v>
      </c>
      <c r="M79" s="36">
        <v>1187.896577</v>
      </c>
      <c r="N79" s="38">
        <f t="shared" si="5"/>
        <v>0</v>
      </c>
      <c r="O79" s="36">
        <v>1187.896577</v>
      </c>
      <c r="P79" s="39">
        <v>0</v>
      </c>
      <c r="Q79" s="39">
        <v>0</v>
      </c>
      <c r="R79" s="40">
        <f t="shared" si="6"/>
        <v>0</v>
      </c>
      <c r="S79" s="39"/>
      <c r="T79" s="41">
        <v>4937</v>
      </c>
    </row>
    <row r="80" spans="2:20" ht="15.6" x14ac:dyDescent="0.3">
      <c r="B80" s="33">
        <f t="shared" si="7"/>
        <v>15</v>
      </c>
      <c r="C80" s="33" t="s">
        <v>123</v>
      </c>
      <c r="D80" s="34" t="s">
        <v>124</v>
      </c>
      <c r="E80" s="35">
        <v>45838</v>
      </c>
      <c r="F80" s="36">
        <v>1483.90023</v>
      </c>
      <c r="G80" s="37">
        <v>10</v>
      </c>
      <c r="H80" s="38">
        <f t="shared" si="4"/>
        <v>148.39002299999999</v>
      </c>
      <c r="I80" s="36">
        <v>668.16130199999998</v>
      </c>
      <c r="J80" s="36">
        <v>895.12491499999999</v>
      </c>
      <c r="K80" s="36">
        <v>52.270527999999999</v>
      </c>
      <c r="L80" s="36">
        <v>1.5862000000000001E-2</v>
      </c>
      <c r="M80" s="36">
        <v>11.997643999999999</v>
      </c>
      <c r="N80" s="38">
        <f t="shared" si="5"/>
        <v>5.625157999999999</v>
      </c>
      <c r="O80" s="36">
        <v>6.3724860000000003</v>
      </c>
      <c r="P80" s="39">
        <v>0</v>
      </c>
      <c r="Q80" s="39">
        <v>0</v>
      </c>
      <c r="R80" s="40">
        <f t="shared" si="6"/>
        <v>0</v>
      </c>
      <c r="S80" s="39"/>
      <c r="T80" s="41">
        <v>3636</v>
      </c>
    </row>
    <row r="81" spans="2:20" ht="15.6" x14ac:dyDescent="0.3">
      <c r="B81" s="33">
        <f t="shared" si="7"/>
        <v>16</v>
      </c>
      <c r="C81" s="33" t="s">
        <v>125</v>
      </c>
      <c r="D81" s="34" t="s">
        <v>126</v>
      </c>
      <c r="E81" s="35">
        <v>45838</v>
      </c>
      <c r="F81" s="36">
        <v>2672.8633100000002</v>
      </c>
      <c r="G81" s="37">
        <v>10</v>
      </c>
      <c r="H81" s="38">
        <f t="shared" si="4"/>
        <v>267.28633100000002</v>
      </c>
      <c r="I81" s="36">
        <v>1081.941345</v>
      </c>
      <c r="J81" s="36">
        <v>1716.315987</v>
      </c>
      <c r="K81" s="36">
        <v>19.754577000000001</v>
      </c>
      <c r="L81" s="36">
        <v>25.304203999999999</v>
      </c>
      <c r="M81" s="36">
        <v>-71.962697000000006</v>
      </c>
      <c r="N81" s="38">
        <f t="shared" si="5"/>
        <v>6.7179849999999988</v>
      </c>
      <c r="O81" s="36">
        <v>-78.680682000000004</v>
      </c>
      <c r="P81" s="39">
        <v>0</v>
      </c>
      <c r="Q81" s="39">
        <v>0</v>
      </c>
      <c r="R81" s="40">
        <f t="shared" si="6"/>
        <v>0</v>
      </c>
      <c r="S81" s="39"/>
      <c r="T81" s="41">
        <v>3636</v>
      </c>
    </row>
    <row r="82" spans="2:20" ht="15.6" x14ac:dyDescent="0.3">
      <c r="B82" s="33">
        <f t="shared" si="7"/>
        <v>17</v>
      </c>
      <c r="C82" s="33" t="s">
        <v>127</v>
      </c>
      <c r="D82" s="34" t="s">
        <v>128</v>
      </c>
      <c r="E82" s="35">
        <v>45838</v>
      </c>
      <c r="F82" s="36">
        <v>2848.66896</v>
      </c>
      <c r="G82" s="37">
        <v>10</v>
      </c>
      <c r="H82" s="38">
        <f t="shared" si="4"/>
        <v>284.866896</v>
      </c>
      <c r="I82" s="36">
        <v>761.18985299999997</v>
      </c>
      <c r="J82" s="36">
        <v>1567.878764</v>
      </c>
      <c r="K82" s="36">
        <v>173.85006300000001</v>
      </c>
      <c r="L82" s="36">
        <v>7.5189999999999996E-3</v>
      </c>
      <c r="M82" s="36">
        <v>147.81573800000001</v>
      </c>
      <c r="N82" s="38">
        <f t="shared" si="5"/>
        <v>21.07368000000001</v>
      </c>
      <c r="O82" s="36">
        <v>126.742058</v>
      </c>
      <c r="P82" s="39">
        <v>0</v>
      </c>
      <c r="Q82" s="39">
        <v>0</v>
      </c>
      <c r="R82" s="40">
        <f t="shared" si="6"/>
        <v>0</v>
      </c>
      <c r="S82" s="39"/>
      <c r="T82" s="41">
        <v>9293</v>
      </c>
    </row>
    <row r="83" spans="2:20" ht="15.6" x14ac:dyDescent="0.3">
      <c r="B83" s="33">
        <f t="shared" si="7"/>
        <v>18</v>
      </c>
      <c r="C83" s="33" t="s">
        <v>129</v>
      </c>
      <c r="D83" s="34" t="s">
        <v>130</v>
      </c>
      <c r="E83" s="35">
        <v>46022</v>
      </c>
      <c r="F83" s="36"/>
      <c r="G83" s="37">
        <v>10</v>
      </c>
      <c r="H83" s="38">
        <f t="shared" si="4"/>
        <v>0</v>
      </c>
      <c r="I83" s="36"/>
      <c r="J83" s="36"/>
      <c r="K83" s="36"/>
      <c r="L83" s="36"/>
      <c r="M83" s="36"/>
      <c r="N83" s="38">
        <f t="shared" si="5"/>
        <v>0</v>
      </c>
      <c r="O83" s="36"/>
      <c r="P83" s="39"/>
      <c r="Q83" s="39"/>
      <c r="R83" s="40">
        <f t="shared" si="6"/>
        <v>0</v>
      </c>
      <c r="S83" s="39"/>
      <c r="T83" s="41"/>
    </row>
    <row r="84" spans="2:20" ht="15.6" x14ac:dyDescent="0.3">
      <c r="B84" s="33">
        <f t="shared" si="7"/>
        <v>19</v>
      </c>
      <c r="C84" s="33" t="s">
        <v>131</v>
      </c>
      <c r="D84" s="34" t="s">
        <v>132</v>
      </c>
      <c r="E84" s="35">
        <v>46022</v>
      </c>
      <c r="F84" s="36"/>
      <c r="G84" s="37">
        <v>10</v>
      </c>
      <c r="H84" s="38">
        <f t="shared" si="4"/>
        <v>0</v>
      </c>
      <c r="I84" s="36"/>
      <c r="J84" s="36"/>
      <c r="K84" s="36"/>
      <c r="L84" s="36"/>
      <c r="M84" s="36"/>
      <c r="N84" s="38">
        <f t="shared" si="5"/>
        <v>0</v>
      </c>
      <c r="O84" s="36"/>
      <c r="P84" s="39"/>
      <c r="Q84" s="39"/>
      <c r="R84" s="40">
        <f t="shared" si="6"/>
        <v>0</v>
      </c>
      <c r="S84" s="39"/>
      <c r="T84" s="41"/>
    </row>
    <row r="85" spans="2:20" ht="15.6" x14ac:dyDescent="0.3">
      <c r="B85" s="33">
        <f t="shared" si="7"/>
        <v>20</v>
      </c>
      <c r="C85" s="33" t="s">
        <v>133</v>
      </c>
      <c r="D85" s="34" t="s">
        <v>134</v>
      </c>
      <c r="E85" s="35">
        <v>46022</v>
      </c>
      <c r="F85" s="36"/>
      <c r="G85" s="37">
        <v>10</v>
      </c>
      <c r="H85" s="38">
        <f t="shared" si="4"/>
        <v>0</v>
      </c>
      <c r="I85" s="36"/>
      <c r="J85" s="36"/>
      <c r="K85" s="36"/>
      <c r="L85" s="36"/>
      <c r="M85" s="36"/>
      <c r="N85" s="38">
        <f t="shared" si="5"/>
        <v>0</v>
      </c>
      <c r="O85" s="36"/>
      <c r="P85" s="39"/>
      <c r="Q85" s="39"/>
      <c r="R85" s="40">
        <f t="shared" si="6"/>
        <v>0</v>
      </c>
      <c r="S85" s="39"/>
      <c r="T85" s="41"/>
    </row>
    <row r="86" spans="2:20" ht="15.6" x14ac:dyDescent="0.3">
      <c r="B86" s="33">
        <f t="shared" si="7"/>
        <v>21</v>
      </c>
      <c r="C86" s="33" t="s">
        <v>135</v>
      </c>
      <c r="D86" s="34" t="s">
        <v>136</v>
      </c>
      <c r="E86" s="35">
        <v>45838</v>
      </c>
      <c r="F86" s="36">
        <v>1811.5340000000001</v>
      </c>
      <c r="G86" s="37">
        <v>10</v>
      </c>
      <c r="H86" s="38">
        <f t="shared" si="4"/>
        <v>181.1534</v>
      </c>
      <c r="I86" s="36">
        <v>3166.6370000000002</v>
      </c>
      <c r="J86" s="36">
        <v>3528.6550000000002</v>
      </c>
      <c r="K86" s="36">
        <v>145.428</v>
      </c>
      <c r="L86" s="36">
        <v>79.259</v>
      </c>
      <c r="M86" s="36">
        <v>285.50299999999999</v>
      </c>
      <c r="N86" s="38">
        <f t="shared" si="5"/>
        <v>46.915999999999997</v>
      </c>
      <c r="O86" s="36">
        <v>238.58699999999999</v>
      </c>
      <c r="P86" s="39">
        <v>0</v>
      </c>
      <c r="Q86" s="39">
        <v>0</v>
      </c>
      <c r="R86" s="40">
        <f t="shared" si="6"/>
        <v>0</v>
      </c>
      <c r="S86" s="39"/>
      <c r="T86" s="41">
        <v>4722</v>
      </c>
    </row>
    <row r="87" spans="2:20" ht="15.6" x14ac:dyDescent="0.3">
      <c r="B87" s="33">
        <f t="shared" si="7"/>
        <v>22</v>
      </c>
      <c r="C87" s="33" t="s">
        <v>137</v>
      </c>
      <c r="D87" s="34" t="s">
        <v>138</v>
      </c>
      <c r="E87" s="35">
        <v>45838</v>
      </c>
      <c r="F87" s="36">
        <v>356.77578</v>
      </c>
      <c r="G87" s="37">
        <v>10</v>
      </c>
      <c r="H87" s="38">
        <f>+F87/G87</f>
        <v>35.677577999999997</v>
      </c>
      <c r="I87" s="36">
        <v>456.97899999999998</v>
      </c>
      <c r="J87" s="36">
        <v>489.18099999999998</v>
      </c>
      <c r="K87" s="36">
        <v>30.79</v>
      </c>
      <c r="L87" s="36">
        <v>0.223</v>
      </c>
      <c r="M87" s="36">
        <v>21.062999999999999</v>
      </c>
      <c r="N87" s="38">
        <f>+M87-O87</f>
        <v>2.8769999999999989</v>
      </c>
      <c r="O87" s="36">
        <v>18.186</v>
      </c>
      <c r="P87" s="39">
        <v>0</v>
      </c>
      <c r="Q87" s="39">
        <v>0</v>
      </c>
      <c r="R87" s="40">
        <f>SUM(P87:Q87)</f>
        <v>0</v>
      </c>
      <c r="S87" s="39"/>
      <c r="T87" s="41">
        <v>2753</v>
      </c>
    </row>
    <row r="88" spans="2:20" ht="15.6" x14ac:dyDescent="0.3">
      <c r="B88" s="33">
        <f t="shared" si="7"/>
        <v>23</v>
      </c>
      <c r="C88" s="33" t="s">
        <v>139</v>
      </c>
      <c r="D88" s="34" t="s">
        <v>140</v>
      </c>
      <c r="E88" s="35">
        <v>45838</v>
      </c>
      <c r="F88" s="36">
        <v>1795.9788000000001</v>
      </c>
      <c r="G88" s="37">
        <v>5</v>
      </c>
      <c r="H88" s="38">
        <f>+F88/G88</f>
        <v>359.19576000000001</v>
      </c>
      <c r="I88" s="36">
        <v>2655.7359999999999</v>
      </c>
      <c r="J88" s="36">
        <v>3275.79</v>
      </c>
      <c r="K88" s="36">
        <v>466.26499999999999</v>
      </c>
      <c r="L88" s="36">
        <v>2.6659999999999999</v>
      </c>
      <c r="M88" s="36">
        <v>293.27300000000002</v>
      </c>
      <c r="N88" s="38">
        <f>+M88-O88</f>
        <v>84.721000000000032</v>
      </c>
      <c r="O88" s="36">
        <v>208.55199999999999</v>
      </c>
      <c r="P88" s="39">
        <v>10</v>
      </c>
      <c r="Q88" s="39">
        <v>0</v>
      </c>
      <c r="R88" s="40">
        <f>SUM(P88:Q88)</f>
        <v>10</v>
      </c>
      <c r="S88" s="39">
        <v>38.975999999999999</v>
      </c>
      <c r="T88" s="41">
        <v>1357</v>
      </c>
    </row>
    <row r="89" spans="2:20" ht="15.6" x14ac:dyDescent="0.3">
      <c r="B89" s="33">
        <f t="shared" si="7"/>
        <v>24</v>
      </c>
      <c r="C89" s="33" t="s">
        <v>141</v>
      </c>
      <c r="D89" s="34" t="s">
        <v>142</v>
      </c>
      <c r="E89" s="35">
        <v>45838</v>
      </c>
      <c r="F89" s="36">
        <v>720</v>
      </c>
      <c r="G89" s="37">
        <v>10</v>
      </c>
      <c r="H89" s="38">
        <f t="shared" si="4"/>
        <v>72</v>
      </c>
      <c r="I89" s="36">
        <v>3280.3830320000002</v>
      </c>
      <c r="J89" s="36">
        <v>5023.5639709999996</v>
      </c>
      <c r="K89" s="36">
        <v>4787.5937039999999</v>
      </c>
      <c r="L89" s="36">
        <v>15.553357</v>
      </c>
      <c r="M89" s="36">
        <v>2748.676774</v>
      </c>
      <c r="N89" s="38">
        <f t="shared" si="5"/>
        <v>990.30553800000007</v>
      </c>
      <c r="O89" s="36">
        <v>1758.371236</v>
      </c>
      <c r="P89" s="39">
        <f>35+35</f>
        <v>70</v>
      </c>
      <c r="Q89" s="39">
        <v>0</v>
      </c>
      <c r="R89" s="40">
        <f t="shared" si="6"/>
        <v>70</v>
      </c>
      <c r="S89" s="39"/>
      <c r="T89" s="41">
        <v>926</v>
      </c>
    </row>
    <row r="90" spans="2:20" ht="15.6" x14ac:dyDescent="0.3">
      <c r="B90" s="33">
        <f t="shared" si="7"/>
        <v>25</v>
      </c>
      <c r="C90" s="33" t="s">
        <v>143</v>
      </c>
      <c r="D90" s="34" t="s">
        <v>144</v>
      </c>
      <c r="E90" s="35">
        <v>45838</v>
      </c>
      <c r="F90" s="36">
        <v>569.25</v>
      </c>
      <c r="G90" s="37">
        <v>10</v>
      </c>
      <c r="H90" s="38">
        <f t="shared" si="4"/>
        <v>56.924999999999997</v>
      </c>
      <c r="I90" s="36">
        <v>435.05585200000002</v>
      </c>
      <c r="J90" s="36">
        <v>1113.1541830000001</v>
      </c>
      <c r="K90" s="36">
        <v>287.562186</v>
      </c>
      <c r="L90" s="36">
        <v>26.845673000000001</v>
      </c>
      <c r="M90" s="36">
        <v>20.226858</v>
      </c>
      <c r="N90" s="38">
        <f t="shared" si="5"/>
        <v>-8.5090040000000009</v>
      </c>
      <c r="O90" s="36">
        <v>28.735862000000001</v>
      </c>
      <c r="P90" s="39">
        <v>0</v>
      </c>
      <c r="Q90" s="39">
        <v>0</v>
      </c>
      <c r="R90" s="40">
        <f t="shared" si="6"/>
        <v>0</v>
      </c>
      <c r="S90" s="39"/>
      <c r="T90" s="41"/>
    </row>
    <row r="91" spans="2:20" ht="15.6" x14ac:dyDescent="0.3">
      <c r="B91" s="33">
        <f t="shared" si="7"/>
        <v>26</v>
      </c>
      <c r="C91" s="33" t="s">
        <v>145</v>
      </c>
      <c r="D91" s="34" t="s">
        <v>146</v>
      </c>
      <c r="E91" s="35">
        <v>45838</v>
      </c>
      <c r="F91" s="36">
        <v>1754.07647</v>
      </c>
      <c r="G91" s="37">
        <v>10</v>
      </c>
      <c r="H91" s="38">
        <f>+F91/G91</f>
        <v>175.407647</v>
      </c>
      <c r="I91" s="36">
        <v>10897.447595</v>
      </c>
      <c r="J91" s="36">
        <v>35416.559730000001</v>
      </c>
      <c r="K91" s="36">
        <v>6963.68995</v>
      </c>
      <c r="L91" s="36">
        <v>3158.1766240000002</v>
      </c>
      <c r="M91" s="36">
        <v>1992.0315350000001</v>
      </c>
      <c r="N91" s="38">
        <f>+M91-O91</f>
        <v>766.56049900000016</v>
      </c>
      <c r="O91" s="36">
        <v>1225.4710359999999</v>
      </c>
      <c r="P91" s="39">
        <f>20+35</f>
        <v>55</v>
      </c>
      <c r="Q91" s="39">
        <v>0</v>
      </c>
      <c r="R91" s="40">
        <f>SUM(P91:Q91)</f>
        <v>55</v>
      </c>
      <c r="S91" s="39"/>
      <c r="T91" s="41">
        <v>3238</v>
      </c>
    </row>
    <row r="92" spans="2:20" ht="15.6" x14ac:dyDescent="0.3">
      <c r="B92" s="33">
        <f t="shared" si="7"/>
        <v>27</v>
      </c>
      <c r="C92" s="33" t="s">
        <v>147</v>
      </c>
      <c r="D92" s="34" t="s">
        <v>148</v>
      </c>
      <c r="E92" s="35">
        <v>46022</v>
      </c>
      <c r="F92" s="36"/>
      <c r="G92" s="37">
        <v>10</v>
      </c>
      <c r="H92" s="38">
        <f>+F92/G92</f>
        <v>0</v>
      </c>
      <c r="I92" s="36"/>
      <c r="J92" s="36"/>
      <c r="K92" s="36"/>
      <c r="L92" s="36"/>
      <c r="M92" s="36"/>
      <c r="N92" s="38"/>
      <c r="O92" s="36"/>
      <c r="P92" s="39"/>
      <c r="Q92" s="39"/>
      <c r="R92" s="40"/>
      <c r="S92" s="39"/>
      <c r="T92" s="41"/>
    </row>
    <row r="93" spans="2:20" ht="15.6" x14ac:dyDescent="0.3">
      <c r="B93" s="33">
        <f t="shared" si="7"/>
        <v>28</v>
      </c>
      <c r="C93" s="33" t="s">
        <v>149</v>
      </c>
      <c r="D93" s="34" t="s">
        <v>150</v>
      </c>
      <c r="E93" s="35">
        <v>45838</v>
      </c>
      <c r="F93" s="36">
        <v>8014.7659999999996</v>
      </c>
      <c r="G93" s="37">
        <v>10</v>
      </c>
      <c r="H93" s="38">
        <f t="shared" si="4"/>
        <v>801.47659999999996</v>
      </c>
      <c r="I93" s="36">
        <v>12078.912</v>
      </c>
      <c r="J93" s="36">
        <v>15000.923000000001</v>
      </c>
      <c r="K93" s="36">
        <v>2461.4360000000001</v>
      </c>
      <c r="L93" s="36">
        <v>0</v>
      </c>
      <c r="M93" s="36">
        <v>1698.182</v>
      </c>
      <c r="N93" s="38">
        <f t="shared" si="5"/>
        <v>177.27400000000011</v>
      </c>
      <c r="O93" s="36">
        <v>1520.9079999999999</v>
      </c>
      <c r="P93" s="39">
        <v>17</v>
      </c>
      <c r="Q93" s="39">
        <v>0</v>
      </c>
      <c r="R93" s="40">
        <f t="shared" si="6"/>
        <v>17</v>
      </c>
      <c r="S93" s="39"/>
      <c r="T93" s="41">
        <v>4354</v>
      </c>
    </row>
    <row r="94" spans="2:20" ht="15.6" x14ac:dyDescent="0.3">
      <c r="B94" s="33">
        <f t="shared" si="7"/>
        <v>29</v>
      </c>
      <c r="C94" s="33" t="s">
        <v>151</v>
      </c>
      <c r="D94" s="34" t="s">
        <v>152</v>
      </c>
      <c r="E94" s="35">
        <v>46022</v>
      </c>
      <c r="F94" s="36"/>
      <c r="G94" s="37">
        <v>10</v>
      </c>
      <c r="H94" s="38">
        <f t="shared" si="4"/>
        <v>0</v>
      </c>
      <c r="I94" s="36"/>
      <c r="J94" s="36"/>
      <c r="K94" s="36"/>
      <c r="L94" s="36"/>
      <c r="M94" s="36"/>
      <c r="N94" s="38">
        <f t="shared" si="5"/>
        <v>0</v>
      </c>
      <c r="O94" s="36"/>
      <c r="P94" s="39"/>
      <c r="Q94" s="39"/>
      <c r="R94" s="40">
        <f t="shared" si="6"/>
        <v>0</v>
      </c>
      <c r="S94" s="39"/>
      <c r="T94" s="41"/>
    </row>
    <row r="95" spans="2:20" ht="15.6" x14ac:dyDescent="0.3">
      <c r="B95" s="33">
        <f t="shared" si="7"/>
        <v>30</v>
      </c>
      <c r="C95" s="33" t="s">
        <v>153</v>
      </c>
      <c r="D95" s="34" t="s">
        <v>154</v>
      </c>
      <c r="E95" s="35">
        <v>45838</v>
      </c>
      <c r="F95" s="36">
        <v>300</v>
      </c>
      <c r="G95" s="37">
        <v>10</v>
      </c>
      <c r="H95" s="38">
        <f t="shared" si="4"/>
        <v>30</v>
      </c>
      <c r="I95" s="36">
        <v>382.34364900000003</v>
      </c>
      <c r="J95" s="36">
        <v>883.61990700000001</v>
      </c>
      <c r="K95" s="36">
        <f>251.089761+13.896742</f>
        <v>264.98650300000003</v>
      </c>
      <c r="L95" s="36">
        <v>11.748345</v>
      </c>
      <c r="M95" s="36">
        <v>24.791433000000001</v>
      </c>
      <c r="N95" s="38">
        <f t="shared" si="5"/>
        <v>5.6232470000000028</v>
      </c>
      <c r="O95" s="36">
        <v>19.168185999999999</v>
      </c>
      <c r="P95" s="39">
        <v>0</v>
      </c>
      <c r="Q95" s="39">
        <v>0</v>
      </c>
      <c r="R95" s="40">
        <f t="shared" si="6"/>
        <v>0</v>
      </c>
      <c r="S95" s="39"/>
      <c r="T95" s="41"/>
    </row>
    <row r="96" spans="2:20" ht="15.6" x14ac:dyDescent="0.3">
      <c r="B96" s="28"/>
      <c r="C96" s="28"/>
      <c r="D96" s="28"/>
      <c r="E96" s="28"/>
      <c r="F96" s="28"/>
      <c r="G96" s="43"/>
      <c r="H96" s="44"/>
      <c r="I96" s="30"/>
      <c r="J96" s="30"/>
      <c r="K96" s="30"/>
      <c r="L96" s="30"/>
      <c r="M96" s="30"/>
      <c r="N96" s="45"/>
      <c r="O96" s="30"/>
      <c r="P96" s="30"/>
      <c r="Q96" s="30"/>
      <c r="R96" s="45"/>
      <c r="S96" s="30"/>
      <c r="T96" s="30"/>
    </row>
    <row r="97" spans="2:20" ht="18" x14ac:dyDescent="0.35">
      <c r="B97" s="28"/>
      <c r="C97" s="28"/>
      <c r="D97" s="56" t="s">
        <v>30</v>
      </c>
      <c r="E97" s="28"/>
      <c r="F97" s="28"/>
      <c r="G97" s="43"/>
      <c r="H97" s="44"/>
      <c r="I97" s="30"/>
      <c r="J97" s="30"/>
      <c r="K97" s="30"/>
      <c r="L97" s="30"/>
      <c r="M97" s="30"/>
      <c r="N97" s="45"/>
      <c r="O97" s="30"/>
      <c r="P97" s="30"/>
      <c r="Q97" s="30"/>
      <c r="R97" s="45"/>
      <c r="S97" s="30"/>
      <c r="T97" s="30"/>
    </row>
    <row r="98" spans="2:20" ht="15.6" x14ac:dyDescent="0.3">
      <c r="B98" s="33">
        <v>1</v>
      </c>
      <c r="C98" s="33" t="s">
        <v>155</v>
      </c>
      <c r="D98" s="46" t="s">
        <v>156</v>
      </c>
      <c r="E98" s="35">
        <v>45838</v>
      </c>
      <c r="F98" s="36"/>
      <c r="G98" s="37">
        <v>10</v>
      </c>
      <c r="H98" s="38">
        <f t="shared" ref="H98:H103" si="8">+F98/G98</f>
        <v>0</v>
      </c>
      <c r="I98" s="36"/>
      <c r="J98" s="36"/>
      <c r="K98" s="36"/>
      <c r="L98" s="36"/>
      <c r="M98" s="36"/>
      <c r="N98" s="38">
        <f t="shared" ref="N98:N103" si="9">+M98-O98</f>
        <v>0</v>
      </c>
      <c r="O98" s="36"/>
      <c r="P98" s="39"/>
      <c r="Q98" s="39"/>
      <c r="R98" s="40">
        <f t="shared" ref="R98:R103" si="10">SUM(P98:Q98)</f>
        <v>0</v>
      </c>
      <c r="S98" s="39"/>
      <c r="T98" s="41"/>
    </row>
    <row r="99" spans="2:20" ht="15.6" x14ac:dyDescent="0.3">
      <c r="B99" s="33">
        <f>+B98+1</f>
        <v>2</v>
      </c>
      <c r="C99" s="33" t="s">
        <v>157</v>
      </c>
      <c r="D99" s="34" t="s">
        <v>158</v>
      </c>
      <c r="E99" s="35">
        <v>45838</v>
      </c>
      <c r="F99" s="36">
        <v>1413.355</v>
      </c>
      <c r="G99" s="37">
        <v>10</v>
      </c>
      <c r="H99" s="38">
        <f t="shared" si="8"/>
        <v>141.3355</v>
      </c>
      <c r="I99" s="36">
        <v>523.47952999999995</v>
      </c>
      <c r="J99" s="36">
        <v>1237.2307029999999</v>
      </c>
      <c r="K99" s="36">
        <v>63.595877000000002</v>
      </c>
      <c r="L99" s="36">
        <v>5.4500000000000002E-4</v>
      </c>
      <c r="M99" s="36">
        <v>170.91368600000001</v>
      </c>
      <c r="N99" s="38">
        <f t="shared" si="9"/>
        <v>0</v>
      </c>
      <c r="O99" s="36">
        <v>170.91368600000001</v>
      </c>
      <c r="P99" s="39">
        <v>0</v>
      </c>
      <c r="Q99" s="39">
        <v>0</v>
      </c>
      <c r="R99" s="40">
        <f t="shared" si="10"/>
        <v>0</v>
      </c>
      <c r="S99" s="39"/>
      <c r="T99" s="41">
        <v>403</v>
      </c>
    </row>
    <row r="100" spans="2:20" ht="15.6" x14ac:dyDescent="0.3">
      <c r="B100" s="33">
        <f t="shared" ref="B100:B101" si="11">+B99+1</f>
        <v>3</v>
      </c>
      <c r="C100" s="33" t="s">
        <v>159</v>
      </c>
      <c r="D100" s="34" t="s">
        <v>160</v>
      </c>
      <c r="E100" s="35">
        <v>45838</v>
      </c>
      <c r="F100" s="36">
        <v>990.2</v>
      </c>
      <c r="G100" s="37">
        <v>10</v>
      </c>
      <c r="H100" s="38">
        <f t="shared" si="8"/>
        <v>99.02000000000001</v>
      </c>
      <c r="I100" s="36">
        <v>10383.33</v>
      </c>
      <c r="J100" s="36">
        <v>12772.502</v>
      </c>
      <c r="K100" s="36">
        <v>319.892</v>
      </c>
      <c r="L100" s="36">
        <v>0.41499999999999998</v>
      </c>
      <c r="M100" s="36">
        <f>141.585-124.705</f>
        <v>16.88000000000001</v>
      </c>
      <c r="N100" s="38">
        <f t="shared" si="9"/>
        <v>-9.7829999999999906</v>
      </c>
      <c r="O100" s="36">
        <v>26.663</v>
      </c>
      <c r="P100" s="39">
        <v>0</v>
      </c>
      <c r="Q100" s="39">
        <v>0</v>
      </c>
      <c r="R100" s="40">
        <f t="shared" si="10"/>
        <v>0</v>
      </c>
      <c r="S100" s="39"/>
      <c r="T100" s="41">
        <v>1711</v>
      </c>
    </row>
    <row r="101" spans="2:20" ht="15.6" x14ac:dyDescent="0.3">
      <c r="B101" s="33">
        <f t="shared" si="11"/>
        <v>4</v>
      </c>
      <c r="C101" s="33" t="s">
        <v>161</v>
      </c>
      <c r="D101" s="34" t="s">
        <v>162</v>
      </c>
      <c r="E101" s="35">
        <v>45838</v>
      </c>
      <c r="F101" s="36">
        <v>1865.68487</v>
      </c>
      <c r="G101" s="37">
        <v>10</v>
      </c>
      <c r="H101" s="38">
        <f t="shared" si="8"/>
        <v>186.568487</v>
      </c>
      <c r="I101" s="36">
        <v>-554.19344000000001</v>
      </c>
      <c r="J101" s="36">
        <f>91.8834+4.333558</f>
        <v>96.216957999999991</v>
      </c>
      <c r="K101" s="36">
        <v>0</v>
      </c>
      <c r="L101" s="36">
        <v>8.7000000000000001E-5</v>
      </c>
      <c r="M101" s="36">
        <v>8.0840779999999999</v>
      </c>
      <c r="N101" s="38">
        <f t="shared" si="9"/>
        <v>0</v>
      </c>
      <c r="O101" s="36">
        <v>8.0840779999999999</v>
      </c>
      <c r="P101" s="39">
        <v>0</v>
      </c>
      <c r="Q101" s="39">
        <v>0</v>
      </c>
      <c r="R101" s="40">
        <f t="shared" si="10"/>
        <v>0</v>
      </c>
      <c r="S101" s="39"/>
      <c r="T101" s="41">
        <v>7260</v>
      </c>
    </row>
    <row r="102" spans="2:20" ht="15.6" x14ac:dyDescent="0.3">
      <c r="B102" s="33">
        <f>+B101+1</f>
        <v>5</v>
      </c>
      <c r="C102" s="33" t="s">
        <v>163</v>
      </c>
      <c r="D102" s="34" t="s">
        <v>164</v>
      </c>
      <c r="E102" s="35">
        <v>45838</v>
      </c>
      <c r="F102" s="36"/>
      <c r="G102" s="37">
        <v>10</v>
      </c>
      <c r="H102" s="38">
        <f t="shared" si="8"/>
        <v>0</v>
      </c>
      <c r="I102" s="36"/>
      <c r="J102" s="36"/>
      <c r="K102" s="36"/>
      <c r="L102" s="36"/>
      <c r="M102" s="36"/>
      <c r="N102" s="38">
        <f t="shared" si="9"/>
        <v>0</v>
      </c>
      <c r="O102" s="36"/>
      <c r="P102" s="39"/>
      <c r="Q102" s="39"/>
      <c r="R102" s="40">
        <f t="shared" si="10"/>
        <v>0</v>
      </c>
      <c r="S102" s="39"/>
      <c r="T102" s="41"/>
    </row>
    <row r="103" spans="2:20" ht="15.6" x14ac:dyDescent="0.3">
      <c r="B103" s="33">
        <f>+B102+1</f>
        <v>6</v>
      </c>
      <c r="C103" s="33" t="s">
        <v>165</v>
      </c>
      <c r="D103" s="34" t="s">
        <v>166</v>
      </c>
      <c r="E103" s="35">
        <v>45838</v>
      </c>
      <c r="F103" s="36"/>
      <c r="G103" s="37">
        <v>10</v>
      </c>
      <c r="H103" s="38">
        <f t="shared" si="8"/>
        <v>0</v>
      </c>
      <c r="I103" s="36"/>
      <c r="J103" s="36"/>
      <c r="K103" s="36"/>
      <c r="L103" s="36"/>
      <c r="M103" s="36"/>
      <c r="N103" s="38">
        <f t="shared" si="9"/>
        <v>0</v>
      </c>
      <c r="O103" s="36"/>
      <c r="P103" s="39"/>
      <c r="Q103" s="39"/>
      <c r="R103" s="40">
        <f t="shared" si="10"/>
        <v>0</v>
      </c>
      <c r="S103" s="39"/>
      <c r="T103" s="41"/>
    </row>
    <row r="104" spans="2:20" ht="15.6" x14ac:dyDescent="0.3">
      <c r="B104" s="28"/>
      <c r="C104" s="28"/>
      <c r="D104" s="28"/>
      <c r="E104" s="28"/>
      <c r="F104" s="28"/>
      <c r="G104" s="43"/>
      <c r="H104" s="44"/>
      <c r="I104" s="30"/>
      <c r="J104" s="30"/>
      <c r="K104" s="30"/>
      <c r="L104" s="30"/>
      <c r="M104" s="30"/>
      <c r="N104" s="45"/>
      <c r="O104" s="30"/>
      <c r="P104" s="30"/>
      <c r="Q104" s="30"/>
      <c r="R104" s="45"/>
      <c r="S104" s="30"/>
      <c r="T104" s="30"/>
    </row>
    <row r="105" spans="2:20" ht="15.6" x14ac:dyDescent="0.3">
      <c r="B105" s="47">
        <f>COUNT(B66:B104)</f>
        <v>36</v>
      </c>
      <c r="C105" s="47"/>
      <c r="D105" s="48"/>
      <c r="E105" s="48"/>
      <c r="F105" s="48">
        <f>SUM(F66:F104)</f>
        <v>45249.04890999999</v>
      </c>
      <c r="G105" s="49"/>
      <c r="H105" s="50">
        <f>SUM(H66:H104)</f>
        <v>5863.2619869999999</v>
      </c>
      <c r="I105" s="48">
        <f>SUM(I66:I104)</f>
        <v>67119.24328699999</v>
      </c>
      <c r="J105" s="48">
        <f>SUM(J66:J104)</f>
        <v>126602.97411499999</v>
      </c>
      <c r="K105" s="48">
        <f>SUM(K66:K104)</f>
        <v>27336.452981000002</v>
      </c>
      <c r="L105" s="48">
        <f>SUM(L66:L104)</f>
        <v>4325.5151029999997</v>
      </c>
      <c r="M105" s="48">
        <f>SUM(M66:M104)</f>
        <v>14372.593448000001</v>
      </c>
      <c r="N105" s="51">
        <f>SUM(N66:N104)</f>
        <v>3531.3302710000007</v>
      </c>
      <c r="O105" s="48">
        <f>SUM(O66:O104)</f>
        <v>10841.263176999999</v>
      </c>
      <c r="P105" s="52"/>
      <c r="Q105" s="52"/>
      <c r="R105" s="53"/>
      <c r="S105" s="52"/>
      <c r="T105" s="54">
        <f>SUM(T66:T104)</f>
        <v>65202</v>
      </c>
    </row>
    <row r="106" spans="2:20" ht="15.6" x14ac:dyDescent="0.3">
      <c r="B106" s="28"/>
      <c r="C106" s="28"/>
      <c r="D106" s="28"/>
      <c r="E106" s="28"/>
      <c r="F106" s="28"/>
      <c r="G106" s="43"/>
      <c r="H106" s="44"/>
      <c r="I106" s="30"/>
      <c r="J106" s="30"/>
      <c r="K106" s="30"/>
      <c r="L106" s="30"/>
      <c r="M106" s="30"/>
      <c r="N106" s="45"/>
      <c r="O106" s="30"/>
      <c r="P106" s="30"/>
      <c r="Q106" s="30"/>
      <c r="R106" s="45"/>
      <c r="S106" s="30"/>
      <c r="T106" s="30"/>
    </row>
    <row r="107" spans="2:20" ht="15.6" x14ac:dyDescent="0.3">
      <c r="B107" s="28"/>
      <c r="C107" s="28"/>
      <c r="D107" s="28"/>
      <c r="E107" s="28"/>
      <c r="F107" s="28"/>
      <c r="G107" s="43"/>
      <c r="H107" s="44"/>
      <c r="I107" s="30"/>
      <c r="J107" s="30"/>
      <c r="K107" s="30"/>
      <c r="L107" s="30"/>
      <c r="M107" s="30"/>
      <c r="N107" s="45"/>
      <c r="O107" s="30"/>
      <c r="P107" s="30"/>
      <c r="Q107" s="30"/>
      <c r="R107" s="45"/>
      <c r="S107" s="30"/>
      <c r="T107" s="30"/>
    </row>
    <row r="108" spans="2:20" ht="18" x14ac:dyDescent="0.35">
      <c r="B108" s="28"/>
      <c r="C108" s="32">
        <v>5</v>
      </c>
      <c r="D108" s="32" t="s">
        <v>167</v>
      </c>
      <c r="E108" s="61"/>
      <c r="F108" s="61"/>
      <c r="G108" s="43"/>
      <c r="H108" s="44"/>
      <c r="I108" s="30"/>
      <c r="J108" s="30"/>
      <c r="K108" s="30"/>
      <c r="L108" s="30"/>
      <c r="M108" s="30"/>
      <c r="N108" s="45"/>
      <c r="O108" s="30"/>
      <c r="P108" s="30"/>
      <c r="Q108" s="30"/>
      <c r="R108" s="45"/>
      <c r="S108" s="30"/>
      <c r="T108" s="30"/>
    </row>
    <row r="109" spans="2:20" ht="15.6" x14ac:dyDescent="0.3">
      <c r="B109" s="28"/>
      <c r="C109" s="28"/>
      <c r="D109" s="28"/>
      <c r="E109" s="28"/>
      <c r="F109" s="28"/>
      <c r="G109" s="43"/>
      <c r="H109" s="44"/>
      <c r="I109" s="30"/>
      <c r="J109" s="30"/>
      <c r="K109" s="30"/>
      <c r="L109" s="30"/>
      <c r="M109" s="30"/>
      <c r="N109" s="45"/>
      <c r="O109" s="30"/>
      <c r="P109" s="30"/>
      <c r="Q109" s="30"/>
      <c r="R109" s="45"/>
      <c r="S109" s="30"/>
      <c r="T109" s="30"/>
    </row>
    <row r="110" spans="2:20" ht="15.6" x14ac:dyDescent="0.3">
      <c r="B110" s="60">
        <v>1</v>
      </c>
      <c r="C110" s="60" t="s">
        <v>168</v>
      </c>
      <c r="D110" s="34" t="s">
        <v>169</v>
      </c>
      <c r="E110" s="35">
        <v>46022</v>
      </c>
      <c r="F110" s="36">
        <v>11450.738300000001</v>
      </c>
      <c r="G110" s="37">
        <v>10</v>
      </c>
      <c r="H110" s="38">
        <f t="shared" ref="H110:H128" si="12">+F110/G110</f>
        <v>1145.07383</v>
      </c>
      <c r="I110" s="36"/>
      <c r="J110" s="36"/>
      <c r="K110" s="36"/>
      <c r="L110" s="36"/>
      <c r="M110" s="36"/>
      <c r="N110" s="38">
        <f t="shared" ref="N110:N128" si="13">+M110-O110</f>
        <v>0</v>
      </c>
      <c r="O110" s="36"/>
      <c r="P110" s="39">
        <f>40+40+40</f>
        <v>120</v>
      </c>
      <c r="Q110" s="39"/>
      <c r="R110" s="40">
        <f t="shared" ref="R110:R128" si="14">SUM(P110:Q110)</f>
        <v>120</v>
      </c>
      <c r="S110" s="39"/>
      <c r="T110" s="41"/>
    </row>
    <row r="111" spans="2:20" ht="15.6" x14ac:dyDescent="0.3">
      <c r="B111" s="60">
        <f>+B110+1</f>
        <v>2</v>
      </c>
      <c r="C111" s="33" t="s">
        <v>170</v>
      </c>
      <c r="D111" s="34" t="s">
        <v>171</v>
      </c>
      <c r="E111" s="35">
        <v>46022</v>
      </c>
      <c r="F111" s="36">
        <v>14492.99207</v>
      </c>
      <c r="G111" s="37">
        <v>10</v>
      </c>
      <c r="H111" s="38">
        <f t="shared" si="12"/>
        <v>1449.299207</v>
      </c>
      <c r="I111" s="36"/>
      <c r="J111" s="36"/>
      <c r="K111" s="36"/>
      <c r="L111" s="36"/>
      <c r="M111" s="36">
        <v>53285.133000000002</v>
      </c>
      <c r="N111" s="38">
        <f t="shared" si="13"/>
        <v>30481.814000000002</v>
      </c>
      <c r="O111" s="36">
        <v>22803.319</v>
      </c>
      <c r="P111" s="39">
        <f>20+12.5+17.5</f>
        <v>50</v>
      </c>
      <c r="Q111" s="39">
        <v>0</v>
      </c>
      <c r="R111" s="40">
        <f t="shared" si="14"/>
        <v>50</v>
      </c>
      <c r="S111" s="39"/>
      <c r="T111" s="41"/>
    </row>
    <row r="112" spans="2:20" ht="15.6" x14ac:dyDescent="0.3">
      <c r="B112" s="60">
        <f t="shared" ref="B112:B128" si="15">+B111+1</f>
        <v>3</v>
      </c>
      <c r="C112" s="33" t="s">
        <v>172</v>
      </c>
      <c r="D112" s="34" t="s">
        <v>173</v>
      </c>
      <c r="E112" s="35">
        <v>46022</v>
      </c>
      <c r="F112" s="36">
        <v>15771.65119</v>
      </c>
      <c r="G112" s="37">
        <v>10</v>
      </c>
      <c r="H112" s="38">
        <f t="shared" si="12"/>
        <v>1577.165119</v>
      </c>
      <c r="I112" s="36"/>
      <c r="J112" s="36"/>
      <c r="K112" s="36"/>
      <c r="L112" s="36"/>
      <c r="M112" s="36"/>
      <c r="N112" s="38">
        <f t="shared" si="13"/>
        <v>0</v>
      </c>
      <c r="O112" s="36"/>
      <c r="P112" s="39">
        <f>25+25+25</f>
        <v>75</v>
      </c>
      <c r="Q112" s="39"/>
      <c r="R112" s="40">
        <f t="shared" si="14"/>
        <v>75</v>
      </c>
      <c r="S112" s="39"/>
      <c r="T112" s="41"/>
    </row>
    <row r="113" spans="2:20" ht="15.6" x14ac:dyDescent="0.3">
      <c r="B113" s="60">
        <f t="shared" si="15"/>
        <v>4</v>
      </c>
      <c r="C113" s="33" t="s">
        <v>174</v>
      </c>
      <c r="D113" s="34" t="s">
        <v>175</v>
      </c>
      <c r="E113" s="35">
        <v>46022</v>
      </c>
      <c r="F113" s="36">
        <v>11114.25419</v>
      </c>
      <c r="G113" s="37">
        <v>10</v>
      </c>
      <c r="H113" s="38">
        <f t="shared" si="12"/>
        <v>1111.4254189999999</v>
      </c>
      <c r="I113" s="36"/>
      <c r="J113" s="36"/>
      <c r="K113" s="36"/>
      <c r="L113" s="36"/>
      <c r="M113" s="36">
        <v>65519.785000000003</v>
      </c>
      <c r="N113" s="38">
        <f t="shared" si="13"/>
        <v>34882.377000000008</v>
      </c>
      <c r="O113" s="36">
        <v>30637.407999999999</v>
      </c>
      <c r="P113" s="39">
        <f>35+35+35+45</f>
        <v>150</v>
      </c>
      <c r="Q113" s="39">
        <v>0</v>
      </c>
      <c r="R113" s="40">
        <f t="shared" si="14"/>
        <v>150</v>
      </c>
      <c r="S113" s="39"/>
      <c r="T113" s="41"/>
    </row>
    <row r="114" spans="2:20" ht="15.6" x14ac:dyDescent="0.3">
      <c r="B114" s="60">
        <f t="shared" si="15"/>
        <v>5</v>
      </c>
      <c r="C114" s="33" t="s">
        <v>176</v>
      </c>
      <c r="D114" s="34" t="s">
        <v>177</v>
      </c>
      <c r="E114" s="35">
        <v>46022</v>
      </c>
      <c r="F114" s="36">
        <v>11087.03299</v>
      </c>
      <c r="G114" s="37">
        <v>10</v>
      </c>
      <c r="H114" s="38">
        <f t="shared" si="12"/>
        <v>1108.703299</v>
      </c>
      <c r="I114" s="36"/>
      <c r="J114" s="36"/>
      <c r="K114" s="36"/>
      <c r="L114" s="36"/>
      <c r="M114" s="36"/>
      <c r="N114" s="38">
        <f t="shared" si="13"/>
        <v>0</v>
      </c>
      <c r="O114" s="36"/>
      <c r="P114" s="39">
        <f>15</f>
        <v>15</v>
      </c>
      <c r="Q114" s="39"/>
      <c r="R114" s="40">
        <f t="shared" si="14"/>
        <v>15</v>
      </c>
      <c r="S114" s="39"/>
      <c r="T114" s="41"/>
    </row>
    <row r="115" spans="2:20" ht="15.6" x14ac:dyDescent="0.3">
      <c r="B115" s="60">
        <f t="shared" si="15"/>
        <v>6</v>
      </c>
      <c r="C115" s="33" t="s">
        <v>178</v>
      </c>
      <c r="D115" s="34" t="s">
        <v>179</v>
      </c>
      <c r="E115" s="35">
        <v>46022</v>
      </c>
      <c r="F115" s="36">
        <v>11580.54673</v>
      </c>
      <c r="G115" s="37">
        <v>10</v>
      </c>
      <c r="H115" s="38">
        <f t="shared" si="12"/>
        <v>1158.0546730000001</v>
      </c>
      <c r="I115" s="36"/>
      <c r="J115" s="36"/>
      <c r="K115" s="36"/>
      <c r="L115" s="36"/>
      <c r="M115" s="36"/>
      <c r="N115" s="38">
        <f t="shared" si="13"/>
        <v>0</v>
      </c>
      <c r="O115" s="36"/>
      <c r="P115" s="39">
        <f>15</f>
        <v>15</v>
      </c>
      <c r="Q115" s="39"/>
      <c r="R115" s="40">
        <f t="shared" si="14"/>
        <v>15</v>
      </c>
      <c r="S115" s="39"/>
      <c r="T115" s="41"/>
    </row>
    <row r="116" spans="2:20" ht="15.6" x14ac:dyDescent="0.3">
      <c r="B116" s="60">
        <f t="shared" si="15"/>
        <v>7</v>
      </c>
      <c r="C116" s="33" t="s">
        <v>180</v>
      </c>
      <c r="D116" s="34" t="s">
        <v>181</v>
      </c>
      <c r="E116" s="35">
        <v>46022</v>
      </c>
      <c r="F116" s="36">
        <v>32715.693190000002</v>
      </c>
      <c r="G116" s="37">
        <v>10</v>
      </c>
      <c r="H116" s="38">
        <f t="shared" si="12"/>
        <v>3271.5693190000002</v>
      </c>
      <c r="I116" s="36"/>
      <c r="J116" s="36"/>
      <c r="K116" s="36"/>
      <c r="L116" s="36"/>
      <c r="M116" s="36"/>
      <c r="N116" s="38">
        <f t="shared" si="13"/>
        <v>0</v>
      </c>
      <c r="O116" s="36"/>
      <c r="P116" s="39">
        <f>10</f>
        <v>10</v>
      </c>
      <c r="Q116" s="39"/>
      <c r="R116" s="40">
        <f t="shared" si="14"/>
        <v>10</v>
      </c>
      <c r="S116" s="39"/>
      <c r="T116" s="41"/>
    </row>
    <row r="117" spans="2:20" ht="15.6" x14ac:dyDescent="0.3">
      <c r="B117" s="60">
        <f t="shared" si="15"/>
        <v>8</v>
      </c>
      <c r="C117" s="33" t="s">
        <v>182</v>
      </c>
      <c r="D117" s="34" t="s">
        <v>183</v>
      </c>
      <c r="E117" s="35">
        <v>46022</v>
      </c>
      <c r="F117" s="36">
        <v>15176.965260000001</v>
      </c>
      <c r="G117" s="37">
        <v>10</v>
      </c>
      <c r="H117" s="38">
        <f t="shared" si="12"/>
        <v>1517.6965260000002</v>
      </c>
      <c r="I117" s="36"/>
      <c r="J117" s="36"/>
      <c r="K117" s="36"/>
      <c r="L117" s="36"/>
      <c r="M117" s="36"/>
      <c r="N117" s="38">
        <f t="shared" si="13"/>
        <v>0</v>
      </c>
      <c r="O117" s="36"/>
      <c r="P117" s="39">
        <f>15+15+15</f>
        <v>45</v>
      </c>
      <c r="Q117" s="39"/>
      <c r="R117" s="40">
        <f t="shared" si="14"/>
        <v>45</v>
      </c>
      <c r="S117" s="39"/>
      <c r="T117" s="41"/>
    </row>
    <row r="118" spans="2:20" ht="15.6" x14ac:dyDescent="0.3">
      <c r="B118" s="60">
        <f t="shared" si="15"/>
        <v>9</v>
      </c>
      <c r="C118" s="33" t="s">
        <v>184</v>
      </c>
      <c r="D118" s="34" t="s">
        <v>185</v>
      </c>
      <c r="E118" s="35">
        <v>46022</v>
      </c>
      <c r="F118" s="36">
        <v>14668.525079999999</v>
      </c>
      <c r="G118" s="37">
        <v>10</v>
      </c>
      <c r="H118" s="38">
        <f t="shared" si="12"/>
        <v>1466.8525079999999</v>
      </c>
      <c r="I118" s="36"/>
      <c r="J118" s="36"/>
      <c r="K118" s="36"/>
      <c r="L118" s="36"/>
      <c r="M118" s="36"/>
      <c r="N118" s="38">
        <f t="shared" si="13"/>
        <v>0</v>
      </c>
      <c r="O118" s="36"/>
      <c r="P118" s="39">
        <f>45+45+50</f>
        <v>140</v>
      </c>
      <c r="Q118" s="39"/>
      <c r="R118" s="40">
        <f t="shared" si="14"/>
        <v>140</v>
      </c>
      <c r="S118" s="39"/>
      <c r="T118" s="41"/>
    </row>
    <row r="119" spans="2:20" ht="15.6" x14ac:dyDescent="0.3">
      <c r="B119" s="60">
        <f t="shared" si="15"/>
        <v>10</v>
      </c>
      <c r="C119" s="33" t="s">
        <v>186</v>
      </c>
      <c r="D119" s="34" t="s">
        <v>187</v>
      </c>
      <c r="E119" s="35">
        <v>46022</v>
      </c>
      <c r="F119" s="36">
        <v>10478.3148</v>
      </c>
      <c r="G119" s="37">
        <v>10</v>
      </c>
      <c r="H119" s="38">
        <f t="shared" si="12"/>
        <v>1047.8314800000001</v>
      </c>
      <c r="I119" s="36"/>
      <c r="J119" s="36"/>
      <c r="K119" s="36"/>
      <c r="L119" s="36"/>
      <c r="M119" s="36">
        <v>49022.69</v>
      </c>
      <c r="N119" s="38">
        <f t="shared" si="13"/>
        <v>26438.007000000001</v>
      </c>
      <c r="O119" s="36">
        <v>22584.683000000001</v>
      </c>
      <c r="P119" s="39">
        <f>25+25+25+45</f>
        <v>120</v>
      </c>
      <c r="Q119" s="39">
        <v>0</v>
      </c>
      <c r="R119" s="40">
        <f t="shared" si="14"/>
        <v>120</v>
      </c>
      <c r="S119" s="39"/>
      <c r="T119" s="41"/>
    </row>
    <row r="120" spans="2:20" ht="15.6" x14ac:dyDescent="0.3">
      <c r="B120" s="60">
        <f t="shared" si="15"/>
        <v>11</v>
      </c>
      <c r="C120" s="33" t="s">
        <v>188</v>
      </c>
      <c r="D120" s="34" t="s">
        <v>189</v>
      </c>
      <c r="E120" s="35">
        <v>46022</v>
      </c>
      <c r="F120" s="36"/>
      <c r="G120" s="37">
        <v>10</v>
      </c>
      <c r="H120" s="38">
        <f t="shared" si="12"/>
        <v>0</v>
      </c>
      <c r="I120" s="36"/>
      <c r="J120" s="36"/>
      <c r="K120" s="36"/>
      <c r="L120" s="36"/>
      <c r="M120" s="36"/>
      <c r="N120" s="38">
        <f t="shared" si="13"/>
        <v>0</v>
      </c>
      <c r="O120" s="36"/>
      <c r="P120" s="39"/>
      <c r="Q120" s="39"/>
      <c r="R120" s="40">
        <f t="shared" si="14"/>
        <v>0</v>
      </c>
      <c r="S120" s="39"/>
      <c r="T120" s="41"/>
    </row>
    <row r="121" spans="2:20" ht="15.6" x14ac:dyDescent="0.3">
      <c r="B121" s="60">
        <f t="shared" si="15"/>
        <v>12</v>
      </c>
      <c r="C121" s="33" t="s">
        <v>190</v>
      </c>
      <c r="D121" s="34" t="s">
        <v>191</v>
      </c>
      <c r="E121" s="35">
        <v>46022</v>
      </c>
      <c r="F121" s="36">
        <v>11850.600060000001</v>
      </c>
      <c r="G121" s="37">
        <v>10</v>
      </c>
      <c r="H121" s="38">
        <f t="shared" si="12"/>
        <v>1185.0600060000002</v>
      </c>
      <c r="I121" s="36"/>
      <c r="J121" s="36"/>
      <c r="K121" s="36"/>
      <c r="L121" s="36"/>
      <c r="M121" s="36">
        <v>115453.086</v>
      </c>
      <c r="N121" s="38">
        <f t="shared" si="13"/>
        <v>61257.951999999997</v>
      </c>
      <c r="O121" s="36">
        <v>54195.133999999998</v>
      </c>
      <c r="P121" s="39">
        <f>90+90+90+90</f>
        <v>360</v>
      </c>
      <c r="Q121" s="39">
        <v>0</v>
      </c>
      <c r="R121" s="40">
        <f t="shared" si="14"/>
        <v>360</v>
      </c>
      <c r="S121" s="39"/>
      <c r="T121" s="41"/>
    </row>
    <row r="122" spans="2:20" ht="15.6" x14ac:dyDescent="0.3">
      <c r="B122" s="60">
        <f t="shared" si="15"/>
        <v>13</v>
      </c>
      <c r="C122" s="33" t="s">
        <v>192</v>
      </c>
      <c r="D122" s="34" t="s">
        <v>193</v>
      </c>
      <c r="E122" s="35">
        <v>46022</v>
      </c>
      <c r="F122" s="36">
        <v>18005.54652</v>
      </c>
      <c r="G122" s="37">
        <v>10</v>
      </c>
      <c r="H122" s="38">
        <f t="shared" si="12"/>
        <v>1800.554652</v>
      </c>
      <c r="I122" s="36"/>
      <c r="J122" s="36"/>
      <c r="K122" s="36"/>
      <c r="L122" s="36"/>
      <c r="M122" s="36">
        <v>194418.22899999999</v>
      </c>
      <c r="N122" s="38">
        <f t="shared" si="13"/>
        <v>105376.97899999999</v>
      </c>
      <c r="O122" s="36">
        <v>89041.25</v>
      </c>
      <c r="P122" s="39">
        <f>70+70+70+70</f>
        <v>280</v>
      </c>
      <c r="Q122" s="39">
        <v>0</v>
      </c>
      <c r="R122" s="40">
        <f t="shared" si="14"/>
        <v>280</v>
      </c>
      <c r="S122" s="39"/>
      <c r="T122" s="41"/>
    </row>
    <row r="123" spans="2:20" ht="15.6" x14ac:dyDescent="0.3">
      <c r="B123" s="60">
        <f t="shared" si="15"/>
        <v>14</v>
      </c>
      <c r="C123" s="33" t="s">
        <v>194</v>
      </c>
      <c r="D123" s="34" t="s">
        <v>195</v>
      </c>
      <c r="E123" s="35">
        <v>46022</v>
      </c>
      <c r="F123" s="36"/>
      <c r="G123" s="37">
        <v>10</v>
      </c>
      <c r="H123" s="38">
        <f t="shared" si="12"/>
        <v>0</v>
      </c>
      <c r="I123" s="36"/>
      <c r="J123" s="36"/>
      <c r="K123" s="36"/>
      <c r="L123" s="36"/>
      <c r="M123" s="36"/>
      <c r="N123" s="38">
        <f t="shared" si="13"/>
        <v>0</v>
      </c>
      <c r="O123" s="36"/>
      <c r="P123" s="39"/>
      <c r="Q123" s="39"/>
      <c r="R123" s="40">
        <f t="shared" si="14"/>
        <v>0</v>
      </c>
      <c r="S123" s="39"/>
      <c r="T123" s="41"/>
    </row>
    <row r="124" spans="2:20" ht="15.6" x14ac:dyDescent="0.3">
      <c r="B124" s="60">
        <f t="shared" si="15"/>
        <v>15</v>
      </c>
      <c r="C124" s="33" t="s">
        <v>196</v>
      </c>
      <c r="D124" s="34" t="s">
        <v>197</v>
      </c>
      <c r="E124" s="35">
        <v>46022</v>
      </c>
      <c r="F124" s="36"/>
      <c r="G124" s="37">
        <v>10</v>
      </c>
      <c r="H124" s="38">
        <f t="shared" si="12"/>
        <v>0</v>
      </c>
      <c r="I124" s="36"/>
      <c r="J124" s="36"/>
      <c r="K124" s="36"/>
      <c r="L124" s="36"/>
      <c r="M124" s="36"/>
      <c r="N124" s="38">
        <f t="shared" si="13"/>
        <v>0</v>
      </c>
      <c r="O124" s="36"/>
      <c r="P124" s="39"/>
      <c r="Q124" s="39"/>
      <c r="R124" s="40">
        <f t="shared" si="14"/>
        <v>0</v>
      </c>
      <c r="S124" s="39"/>
      <c r="T124" s="41"/>
    </row>
    <row r="125" spans="2:20" ht="15.6" x14ac:dyDescent="0.3">
      <c r="B125" s="60">
        <f t="shared" si="15"/>
        <v>16</v>
      </c>
      <c r="C125" s="33" t="s">
        <v>198</v>
      </c>
      <c r="D125" s="34" t="s">
        <v>199</v>
      </c>
      <c r="E125" s="35">
        <v>46022</v>
      </c>
      <c r="F125" s="36">
        <v>38715.850209999997</v>
      </c>
      <c r="G125" s="37">
        <v>10</v>
      </c>
      <c r="H125" s="38">
        <f t="shared" si="12"/>
        <v>3871.5850209999999</v>
      </c>
      <c r="I125" s="36"/>
      <c r="J125" s="36"/>
      <c r="K125" s="36"/>
      <c r="L125" s="36"/>
      <c r="M125" s="36"/>
      <c r="N125" s="38">
        <f t="shared" si="13"/>
        <v>0</v>
      </c>
      <c r="O125" s="36"/>
      <c r="P125" s="39">
        <f>35</f>
        <v>35</v>
      </c>
      <c r="Q125" s="39"/>
      <c r="R125" s="40">
        <f t="shared" si="14"/>
        <v>35</v>
      </c>
      <c r="S125" s="39"/>
      <c r="T125" s="41"/>
    </row>
    <row r="126" spans="2:20" ht="15.6" x14ac:dyDescent="0.3">
      <c r="B126" s="60">
        <f t="shared" si="15"/>
        <v>17</v>
      </c>
      <c r="C126" s="33" t="s">
        <v>200</v>
      </c>
      <c r="D126" s="34" t="s">
        <v>201</v>
      </c>
      <c r="E126" s="35">
        <v>46022</v>
      </c>
      <c r="F126" s="36"/>
      <c r="G126" s="37">
        <v>10</v>
      </c>
      <c r="H126" s="38">
        <f>+F126/G126</f>
        <v>0</v>
      </c>
      <c r="I126" s="36"/>
      <c r="J126" s="36"/>
      <c r="K126" s="36"/>
      <c r="L126" s="36"/>
      <c r="M126" s="36"/>
      <c r="N126" s="38">
        <f>+M126-O126</f>
        <v>0</v>
      </c>
      <c r="O126" s="36"/>
      <c r="P126" s="39"/>
      <c r="Q126" s="39"/>
      <c r="R126" s="40">
        <f>SUM(P126:Q126)</f>
        <v>0</v>
      </c>
      <c r="S126" s="39"/>
      <c r="T126" s="41"/>
    </row>
    <row r="127" spans="2:20" ht="15.6" x14ac:dyDescent="0.3">
      <c r="B127" s="60">
        <f t="shared" si="15"/>
        <v>18</v>
      </c>
      <c r="C127" s="33" t="s">
        <v>202</v>
      </c>
      <c r="D127" s="34" t="s">
        <v>203</v>
      </c>
      <c r="E127" s="35">
        <v>46022</v>
      </c>
      <c r="F127" s="36">
        <v>11024.635029999999</v>
      </c>
      <c r="G127" s="37">
        <v>10</v>
      </c>
      <c r="H127" s="38">
        <f t="shared" si="12"/>
        <v>1102.4635029999999</v>
      </c>
      <c r="I127" s="36"/>
      <c r="J127" s="36"/>
      <c r="K127" s="36"/>
      <c r="L127" s="36"/>
      <c r="M127" s="36">
        <v>11606.359</v>
      </c>
      <c r="N127" s="38">
        <f t="shared" si="13"/>
        <v>7048.625</v>
      </c>
      <c r="O127" s="36">
        <v>4557.7340000000004</v>
      </c>
      <c r="P127" s="39">
        <v>15</v>
      </c>
      <c r="Q127" s="39">
        <v>0</v>
      </c>
      <c r="R127" s="40">
        <f t="shared" si="14"/>
        <v>15</v>
      </c>
      <c r="S127" s="39"/>
      <c r="T127" s="41"/>
    </row>
    <row r="128" spans="2:20" ht="15.6" x14ac:dyDescent="0.3">
      <c r="B128" s="60">
        <f t="shared" si="15"/>
        <v>19</v>
      </c>
      <c r="C128" s="33" t="s">
        <v>204</v>
      </c>
      <c r="D128" s="34" t="s">
        <v>205</v>
      </c>
      <c r="E128" s="35">
        <v>46022</v>
      </c>
      <c r="F128" s="36">
        <v>12521.23875</v>
      </c>
      <c r="G128" s="37">
        <v>5</v>
      </c>
      <c r="H128" s="38">
        <f t="shared" si="12"/>
        <v>2504.24775</v>
      </c>
      <c r="I128" s="36"/>
      <c r="J128" s="36"/>
      <c r="K128" s="36"/>
      <c r="L128" s="36"/>
      <c r="M128" s="36"/>
      <c r="N128" s="38">
        <f t="shared" si="13"/>
        <v>0</v>
      </c>
      <c r="O128" s="36"/>
      <c r="P128" s="39">
        <f>110+160+160</f>
        <v>430</v>
      </c>
      <c r="Q128" s="39"/>
      <c r="R128" s="40">
        <f t="shared" si="14"/>
        <v>430</v>
      </c>
      <c r="S128" s="39"/>
      <c r="T128" s="41"/>
    </row>
    <row r="129" spans="2:20" ht="15.6" x14ac:dyDescent="0.3">
      <c r="B129" s="62"/>
      <c r="C129" s="63"/>
      <c r="D129" s="64"/>
      <c r="E129" s="65"/>
      <c r="F129" s="66"/>
      <c r="G129" s="43"/>
      <c r="H129" s="67"/>
      <c r="I129" s="66"/>
      <c r="J129" s="66"/>
      <c r="K129" s="66"/>
      <c r="L129" s="66"/>
      <c r="M129" s="66"/>
      <c r="N129" s="67"/>
      <c r="O129" s="66"/>
      <c r="P129" s="68"/>
      <c r="Q129" s="68"/>
      <c r="R129" s="69"/>
      <c r="S129" s="68"/>
      <c r="T129" s="70"/>
    </row>
    <row r="130" spans="2:20" ht="15.6" x14ac:dyDescent="0.3">
      <c r="B130" s="47">
        <f>COUNT(B110:B129)</f>
        <v>19</v>
      </c>
      <c r="C130" s="47"/>
      <c r="D130" s="48"/>
      <c r="E130" s="48"/>
      <c r="F130" s="48">
        <f>SUM(F110:F129)</f>
        <v>240654.58437</v>
      </c>
      <c r="G130" s="49"/>
      <c r="H130" s="50">
        <f>SUM(H110:H129)</f>
        <v>25317.582311999999</v>
      </c>
      <c r="I130" s="48">
        <f>SUM(I110:I129)</f>
        <v>0</v>
      </c>
      <c r="J130" s="48">
        <f>SUM(J110:J129)</f>
        <v>0</v>
      </c>
      <c r="K130" s="48">
        <f>SUM(K110:K129)</f>
        <v>0</v>
      </c>
      <c r="L130" s="48">
        <f>SUM(L110:L129)</f>
        <v>0</v>
      </c>
      <c r="M130" s="48">
        <f>SUM(M110:M129)</f>
        <v>489305.28200000001</v>
      </c>
      <c r="N130" s="51">
        <f>SUM(N110:N129)</f>
        <v>265485.75399999996</v>
      </c>
      <c r="O130" s="48">
        <f>SUM(O110:O129)</f>
        <v>223819.52799999999</v>
      </c>
      <c r="P130" s="52"/>
      <c r="Q130" s="52"/>
      <c r="R130" s="53"/>
      <c r="S130" s="52"/>
      <c r="T130" s="54">
        <f>SUM(T110:T129)</f>
        <v>0</v>
      </c>
    </row>
    <row r="131" spans="2:20" ht="15.6" x14ac:dyDescent="0.3">
      <c r="B131" s="28"/>
      <c r="C131" s="28"/>
      <c r="D131" s="28"/>
      <c r="E131" s="28"/>
      <c r="F131" s="28"/>
      <c r="G131" s="43"/>
      <c r="H131" s="44"/>
      <c r="I131" s="30"/>
      <c r="J131" s="30"/>
      <c r="K131" s="30"/>
      <c r="L131" s="30"/>
      <c r="M131" s="30"/>
      <c r="N131" s="45"/>
      <c r="O131" s="30"/>
      <c r="P131" s="30"/>
      <c r="Q131" s="30"/>
      <c r="R131" s="45"/>
      <c r="S131" s="30"/>
      <c r="T131" s="30"/>
    </row>
    <row r="132" spans="2:20" ht="15.6" x14ac:dyDescent="0.3">
      <c r="B132" s="28"/>
      <c r="C132" s="28"/>
      <c r="D132" s="28"/>
      <c r="E132" s="28"/>
      <c r="F132" s="28"/>
      <c r="G132" s="43"/>
      <c r="H132" s="44"/>
      <c r="I132" s="30"/>
      <c r="J132" s="30"/>
      <c r="K132" s="30"/>
      <c r="L132" s="30"/>
      <c r="M132" s="30"/>
      <c r="N132" s="45"/>
      <c r="O132" s="30"/>
      <c r="P132" s="30"/>
      <c r="Q132" s="30"/>
      <c r="R132" s="45"/>
      <c r="S132" s="30"/>
      <c r="T132" s="30"/>
    </row>
    <row r="133" spans="2:20" ht="18" x14ac:dyDescent="0.35">
      <c r="B133" s="28"/>
      <c r="C133" s="32">
        <v>6</v>
      </c>
      <c r="D133" s="32" t="s">
        <v>206</v>
      </c>
      <c r="E133" s="61"/>
      <c r="F133" s="61"/>
      <c r="G133" s="43"/>
      <c r="H133" s="44"/>
      <c r="I133" s="30"/>
      <c r="J133" s="30"/>
      <c r="K133" s="30"/>
      <c r="L133" s="30"/>
      <c r="M133" s="30"/>
      <c r="N133" s="45"/>
      <c r="O133" s="30"/>
      <c r="P133" s="30"/>
      <c r="Q133" s="30"/>
      <c r="R133" s="45"/>
      <c r="S133" s="30"/>
      <c r="T133" s="30"/>
    </row>
    <row r="134" spans="2:20" ht="15.6" x14ac:dyDescent="0.3">
      <c r="B134" s="28"/>
      <c r="C134" s="28"/>
      <c r="D134" s="28"/>
      <c r="E134" s="28"/>
      <c r="F134" s="28"/>
      <c r="G134" s="43"/>
      <c r="H134" s="44"/>
      <c r="I134" s="30"/>
      <c r="J134" s="30"/>
      <c r="K134" s="30"/>
      <c r="L134" s="30"/>
      <c r="M134" s="30"/>
      <c r="N134" s="45"/>
      <c r="O134" s="30"/>
      <c r="P134" s="30"/>
      <c r="Q134" s="30"/>
      <c r="R134" s="45"/>
      <c r="S134" s="30"/>
      <c r="T134" s="30"/>
    </row>
    <row r="135" spans="2:20" ht="15.6" x14ac:dyDescent="0.3">
      <c r="B135" s="33">
        <v>1</v>
      </c>
      <c r="C135" s="33" t="s">
        <v>207</v>
      </c>
      <c r="D135" s="34" t="s">
        <v>208</v>
      </c>
      <c r="E135" s="35">
        <v>46022</v>
      </c>
      <c r="F135" s="36">
        <v>719.01898000000006</v>
      </c>
      <c r="G135" s="37">
        <v>10</v>
      </c>
      <c r="H135" s="38">
        <f t="shared" ref="H135:H160" si="16">+F135/G135</f>
        <v>71.901898000000003</v>
      </c>
      <c r="I135" s="36"/>
      <c r="J135" s="36"/>
      <c r="K135" s="36"/>
      <c r="L135" s="36"/>
      <c r="M135" s="36"/>
      <c r="N135" s="38">
        <f t="shared" ref="N135:N160" si="17">+M135-O135</f>
        <v>0</v>
      </c>
      <c r="O135" s="36"/>
      <c r="P135" s="39">
        <f>25</f>
        <v>25</v>
      </c>
      <c r="Q135" s="39"/>
      <c r="R135" s="40">
        <f t="shared" ref="R135:R160" si="18">SUM(P135:Q135)</f>
        <v>25</v>
      </c>
      <c r="S135" s="39">
        <v>40</v>
      </c>
      <c r="T135" s="41"/>
    </row>
    <row r="136" spans="2:20" ht="15.6" x14ac:dyDescent="0.3">
      <c r="B136" s="33">
        <f>+B135+1</f>
        <v>2</v>
      </c>
      <c r="C136" s="33" t="s">
        <v>209</v>
      </c>
      <c r="D136" s="34" t="s">
        <v>210</v>
      </c>
      <c r="E136" s="35">
        <v>46022</v>
      </c>
      <c r="F136" s="36">
        <v>3500</v>
      </c>
      <c r="G136" s="37">
        <v>10</v>
      </c>
      <c r="H136" s="38">
        <f t="shared" si="16"/>
        <v>350</v>
      </c>
      <c r="I136" s="36"/>
      <c r="J136" s="36"/>
      <c r="K136" s="36"/>
      <c r="L136" s="36"/>
      <c r="M136" s="36"/>
      <c r="N136" s="38">
        <f t="shared" si="17"/>
        <v>0</v>
      </c>
      <c r="O136" s="36"/>
      <c r="P136" s="39">
        <f>25</f>
        <v>25</v>
      </c>
      <c r="Q136" s="39"/>
      <c r="R136" s="40">
        <f t="shared" si="18"/>
        <v>25</v>
      </c>
      <c r="S136" s="39"/>
      <c r="T136" s="41"/>
    </row>
    <row r="137" spans="2:20" ht="15.6" x14ac:dyDescent="0.3">
      <c r="B137" s="33">
        <f>+B136+1</f>
        <v>3</v>
      </c>
      <c r="C137" s="60" t="s">
        <v>211</v>
      </c>
      <c r="D137" s="34" t="s">
        <v>212</v>
      </c>
      <c r="E137" s="35">
        <v>46022</v>
      </c>
      <c r="F137" s="36"/>
      <c r="G137" s="37">
        <v>10</v>
      </c>
      <c r="H137" s="38">
        <f t="shared" si="16"/>
        <v>0</v>
      </c>
      <c r="I137" s="36"/>
      <c r="J137" s="36"/>
      <c r="K137" s="36"/>
      <c r="L137" s="36"/>
      <c r="M137" s="36"/>
      <c r="N137" s="38">
        <f t="shared" si="17"/>
        <v>0</v>
      </c>
      <c r="O137" s="36"/>
      <c r="P137" s="39"/>
      <c r="Q137" s="39"/>
      <c r="R137" s="40">
        <f t="shared" si="18"/>
        <v>0</v>
      </c>
      <c r="S137" s="39"/>
      <c r="T137" s="41"/>
    </row>
    <row r="138" spans="2:20" ht="15.6" x14ac:dyDescent="0.3">
      <c r="B138" s="33">
        <f>+B137+1</f>
        <v>4</v>
      </c>
      <c r="C138" s="33" t="s">
        <v>213</v>
      </c>
      <c r="D138" s="34" t="s">
        <v>214</v>
      </c>
      <c r="E138" s="35">
        <v>46022</v>
      </c>
      <c r="F138" s="36">
        <v>2625</v>
      </c>
      <c r="G138" s="37">
        <v>10</v>
      </c>
      <c r="H138" s="38">
        <f t="shared" si="16"/>
        <v>262.5</v>
      </c>
      <c r="I138" s="36"/>
      <c r="J138" s="36"/>
      <c r="K138" s="36"/>
      <c r="L138" s="36"/>
      <c r="M138" s="36"/>
      <c r="N138" s="38">
        <f t="shared" si="17"/>
        <v>0</v>
      </c>
      <c r="O138" s="36"/>
      <c r="P138" s="39">
        <f>10</f>
        <v>10</v>
      </c>
      <c r="Q138" s="39">
        <f>5</f>
        <v>5</v>
      </c>
      <c r="R138" s="40">
        <f t="shared" si="18"/>
        <v>15</v>
      </c>
      <c r="S138" s="39"/>
      <c r="T138" s="41"/>
    </row>
    <row r="139" spans="2:20" ht="15.6" x14ac:dyDescent="0.3">
      <c r="B139" s="33">
        <f t="shared" ref="B139:B160" si="19">+B138+1</f>
        <v>5</v>
      </c>
      <c r="C139" s="33" t="s">
        <v>215</v>
      </c>
      <c r="D139" s="34" t="s">
        <v>216</v>
      </c>
      <c r="E139" s="35">
        <v>46022</v>
      </c>
      <c r="F139" s="36"/>
      <c r="G139" s="37">
        <v>10</v>
      </c>
      <c r="H139" s="38">
        <f t="shared" si="16"/>
        <v>0</v>
      </c>
      <c r="I139" s="36"/>
      <c r="J139" s="36"/>
      <c r="K139" s="36"/>
      <c r="L139" s="36"/>
      <c r="M139" s="36"/>
      <c r="N139" s="38">
        <f t="shared" si="17"/>
        <v>0</v>
      </c>
      <c r="O139" s="36"/>
      <c r="P139" s="39"/>
      <c r="Q139" s="39"/>
      <c r="R139" s="40">
        <f t="shared" si="18"/>
        <v>0</v>
      </c>
      <c r="S139" s="39"/>
      <c r="T139" s="41"/>
    </row>
    <row r="140" spans="2:20" ht="15.6" x14ac:dyDescent="0.3">
      <c r="B140" s="33">
        <f t="shared" si="19"/>
        <v>6</v>
      </c>
      <c r="C140" s="33" t="s">
        <v>217</v>
      </c>
      <c r="D140" s="34" t="s">
        <v>218</v>
      </c>
      <c r="E140" s="35">
        <v>46022</v>
      </c>
      <c r="F140" s="36">
        <v>1494.1569099999999</v>
      </c>
      <c r="G140" s="37">
        <v>10</v>
      </c>
      <c r="H140" s="38">
        <f t="shared" si="16"/>
        <v>149.41569099999998</v>
      </c>
      <c r="I140" s="36"/>
      <c r="J140" s="36"/>
      <c r="K140" s="36"/>
      <c r="L140" s="36"/>
      <c r="M140" s="36"/>
      <c r="N140" s="38">
        <f t="shared" si="17"/>
        <v>0</v>
      </c>
      <c r="O140" s="36"/>
      <c r="P140" s="39">
        <f>25</f>
        <v>25</v>
      </c>
      <c r="Q140" s="39"/>
      <c r="R140" s="40">
        <f t="shared" si="18"/>
        <v>25</v>
      </c>
      <c r="S140" s="39"/>
      <c r="T140" s="41"/>
    </row>
    <row r="141" spans="2:20" ht="15.6" x14ac:dyDescent="0.3">
      <c r="B141" s="33">
        <f t="shared" si="19"/>
        <v>7</v>
      </c>
      <c r="C141" s="33" t="s">
        <v>219</v>
      </c>
      <c r="D141" s="34" t="s">
        <v>220</v>
      </c>
      <c r="E141" s="35">
        <v>46022</v>
      </c>
      <c r="F141" s="36"/>
      <c r="G141" s="37">
        <v>10</v>
      </c>
      <c r="H141" s="38">
        <f t="shared" si="16"/>
        <v>0</v>
      </c>
      <c r="I141" s="36"/>
      <c r="J141" s="36"/>
      <c r="K141" s="36"/>
      <c r="L141" s="36"/>
      <c r="M141" s="36"/>
      <c r="N141" s="38">
        <f t="shared" si="17"/>
        <v>0</v>
      </c>
      <c r="O141" s="36"/>
      <c r="P141" s="39"/>
      <c r="Q141" s="39"/>
      <c r="R141" s="40">
        <f t="shared" si="18"/>
        <v>0</v>
      </c>
      <c r="S141" s="39"/>
      <c r="T141" s="41"/>
    </row>
    <row r="142" spans="2:20" ht="15.6" x14ac:dyDescent="0.3">
      <c r="B142" s="33">
        <f t="shared" si="19"/>
        <v>8</v>
      </c>
      <c r="C142" s="33" t="s">
        <v>221</v>
      </c>
      <c r="D142" s="34" t="s">
        <v>222</v>
      </c>
      <c r="E142" s="35">
        <v>46022</v>
      </c>
      <c r="F142" s="36"/>
      <c r="G142" s="37">
        <v>10</v>
      </c>
      <c r="H142" s="38">
        <f t="shared" si="16"/>
        <v>0</v>
      </c>
      <c r="I142" s="36"/>
      <c r="J142" s="36"/>
      <c r="K142" s="36"/>
      <c r="L142" s="36"/>
      <c r="M142" s="36"/>
      <c r="N142" s="38">
        <f t="shared" si="17"/>
        <v>0</v>
      </c>
      <c r="O142" s="36"/>
      <c r="P142" s="39"/>
      <c r="Q142" s="39"/>
      <c r="R142" s="40">
        <f t="shared" si="18"/>
        <v>0</v>
      </c>
      <c r="S142" s="39"/>
      <c r="T142" s="41"/>
    </row>
    <row r="143" spans="2:20" ht="15.6" x14ac:dyDescent="0.3">
      <c r="B143" s="33">
        <f t="shared" si="19"/>
        <v>9</v>
      </c>
      <c r="C143" s="33" t="s">
        <v>223</v>
      </c>
      <c r="D143" s="34" t="s">
        <v>224</v>
      </c>
      <c r="E143" s="35">
        <v>46022</v>
      </c>
      <c r="F143" s="36">
        <v>2000</v>
      </c>
      <c r="G143" s="37">
        <v>10</v>
      </c>
      <c r="H143" s="38">
        <f t="shared" si="16"/>
        <v>200</v>
      </c>
      <c r="I143" s="36"/>
      <c r="J143" s="36"/>
      <c r="K143" s="36"/>
      <c r="L143" s="36"/>
      <c r="M143" s="36"/>
      <c r="N143" s="38">
        <f t="shared" si="17"/>
        <v>0</v>
      </c>
      <c r="O143" s="36"/>
      <c r="P143" s="39">
        <f>15+15+15</f>
        <v>45</v>
      </c>
      <c r="Q143" s="39"/>
      <c r="R143" s="40">
        <f t="shared" si="18"/>
        <v>45</v>
      </c>
      <c r="S143" s="39"/>
      <c r="T143" s="41"/>
    </row>
    <row r="144" spans="2:20" ht="15.6" x14ac:dyDescent="0.3">
      <c r="B144" s="33">
        <f t="shared" si="19"/>
        <v>10</v>
      </c>
      <c r="C144" s="60" t="s">
        <v>225</v>
      </c>
      <c r="D144" s="34" t="s">
        <v>226</v>
      </c>
      <c r="E144" s="35">
        <v>46022</v>
      </c>
      <c r="F144" s="36">
        <v>1050</v>
      </c>
      <c r="G144" s="37">
        <v>10</v>
      </c>
      <c r="H144" s="38">
        <f t="shared" si="16"/>
        <v>105</v>
      </c>
      <c r="I144" s="36"/>
      <c r="J144" s="36"/>
      <c r="K144" s="36"/>
      <c r="L144" s="36"/>
      <c r="M144" s="36"/>
      <c r="N144" s="38">
        <f t="shared" si="17"/>
        <v>0</v>
      </c>
      <c r="O144" s="36"/>
      <c r="P144" s="39">
        <f>15+15+15</f>
        <v>45</v>
      </c>
      <c r="Q144" s="39"/>
      <c r="R144" s="40">
        <f t="shared" si="18"/>
        <v>45</v>
      </c>
      <c r="S144" s="39"/>
      <c r="T144" s="41"/>
    </row>
    <row r="145" spans="2:20" ht="15.6" x14ac:dyDescent="0.3">
      <c r="B145" s="33">
        <f t="shared" si="19"/>
        <v>11</v>
      </c>
      <c r="C145" s="33" t="s">
        <v>227</v>
      </c>
      <c r="D145" s="34" t="s">
        <v>228</v>
      </c>
      <c r="E145" s="35">
        <v>46022</v>
      </c>
      <c r="F145" s="36">
        <v>2558.7799599999998</v>
      </c>
      <c r="G145" s="37">
        <v>10</v>
      </c>
      <c r="H145" s="38">
        <f t="shared" si="16"/>
        <v>255.877996</v>
      </c>
      <c r="I145" s="36"/>
      <c r="J145" s="36"/>
      <c r="K145" s="36"/>
      <c r="L145" s="36"/>
      <c r="M145" s="36"/>
      <c r="N145" s="38">
        <f t="shared" si="17"/>
        <v>0</v>
      </c>
      <c r="O145" s="36"/>
      <c r="P145" s="39"/>
      <c r="Q145" s="39">
        <v>10</v>
      </c>
      <c r="R145" s="40">
        <f t="shared" si="18"/>
        <v>10</v>
      </c>
      <c r="S145" s="39"/>
      <c r="T145" s="41"/>
    </row>
    <row r="146" spans="2:20" ht="15.6" x14ac:dyDescent="0.3">
      <c r="B146" s="33">
        <f t="shared" si="19"/>
        <v>12</v>
      </c>
      <c r="C146" s="33" t="s">
        <v>229</v>
      </c>
      <c r="D146" s="34" t="s">
        <v>230</v>
      </c>
      <c r="E146" s="35">
        <v>46022</v>
      </c>
      <c r="F146" s="36"/>
      <c r="G146" s="37">
        <v>5</v>
      </c>
      <c r="H146" s="38">
        <f t="shared" si="16"/>
        <v>0</v>
      </c>
      <c r="I146" s="36"/>
      <c r="J146" s="36"/>
      <c r="K146" s="36"/>
      <c r="L146" s="36"/>
      <c r="M146" s="36"/>
      <c r="N146" s="38">
        <f t="shared" si="17"/>
        <v>0</v>
      </c>
      <c r="O146" s="36"/>
      <c r="P146" s="39"/>
      <c r="Q146" s="39"/>
      <c r="R146" s="40">
        <f t="shared" si="18"/>
        <v>0</v>
      </c>
      <c r="S146" s="39"/>
      <c r="T146" s="41"/>
    </row>
    <row r="147" spans="2:20" ht="15.6" x14ac:dyDescent="0.3">
      <c r="B147" s="33">
        <f t="shared" si="19"/>
        <v>13</v>
      </c>
      <c r="C147" s="33" t="s">
        <v>231</v>
      </c>
      <c r="D147" s="34" t="s">
        <v>232</v>
      </c>
      <c r="E147" s="35">
        <v>46022</v>
      </c>
      <c r="F147" s="36">
        <v>1426.3054999999999</v>
      </c>
      <c r="G147" s="37">
        <v>10</v>
      </c>
      <c r="H147" s="38">
        <f t="shared" si="16"/>
        <v>142.63055</v>
      </c>
      <c r="I147" s="36"/>
      <c r="J147" s="36"/>
      <c r="K147" s="36"/>
      <c r="L147" s="36"/>
      <c r="M147" s="36"/>
      <c r="N147" s="38">
        <f t="shared" si="17"/>
        <v>0</v>
      </c>
      <c r="O147" s="36"/>
      <c r="P147" s="39">
        <f>25</f>
        <v>25</v>
      </c>
      <c r="Q147" s="39"/>
      <c r="R147" s="40">
        <f t="shared" si="18"/>
        <v>25</v>
      </c>
      <c r="S147" s="39"/>
      <c r="T147" s="41"/>
    </row>
    <row r="148" spans="2:20" ht="15.6" x14ac:dyDescent="0.3">
      <c r="B148" s="33">
        <f t="shared" si="19"/>
        <v>14</v>
      </c>
      <c r="C148" s="33" t="s">
        <v>233</v>
      </c>
      <c r="D148" s="34" t="s">
        <v>234</v>
      </c>
      <c r="E148" s="35">
        <v>46022</v>
      </c>
      <c r="F148" s="36"/>
      <c r="G148" s="37">
        <v>10</v>
      </c>
      <c r="H148" s="38">
        <f t="shared" si="16"/>
        <v>0</v>
      </c>
      <c r="I148" s="36"/>
      <c r="J148" s="36"/>
      <c r="K148" s="36"/>
      <c r="L148" s="36"/>
      <c r="M148" s="36"/>
      <c r="N148" s="38">
        <f t="shared" si="17"/>
        <v>0</v>
      </c>
      <c r="O148" s="36"/>
      <c r="P148" s="39"/>
      <c r="Q148" s="39"/>
      <c r="R148" s="40">
        <f t="shared" si="18"/>
        <v>0</v>
      </c>
      <c r="S148" s="39"/>
      <c r="T148" s="41"/>
    </row>
    <row r="149" spans="2:20" ht="15.6" x14ac:dyDescent="0.3">
      <c r="B149" s="33">
        <f t="shared" si="19"/>
        <v>15</v>
      </c>
      <c r="C149" s="33" t="s">
        <v>235</v>
      </c>
      <c r="D149" s="34" t="s">
        <v>236</v>
      </c>
      <c r="E149" s="35">
        <v>46022</v>
      </c>
      <c r="F149" s="36"/>
      <c r="G149" s="37">
        <v>10</v>
      </c>
      <c r="H149" s="38">
        <f t="shared" si="16"/>
        <v>0</v>
      </c>
      <c r="I149" s="36"/>
      <c r="J149" s="36"/>
      <c r="K149" s="36"/>
      <c r="L149" s="36"/>
      <c r="M149" s="36"/>
      <c r="N149" s="38">
        <f t="shared" si="17"/>
        <v>0</v>
      </c>
      <c r="O149" s="36"/>
      <c r="P149" s="39"/>
      <c r="Q149" s="39"/>
      <c r="R149" s="40">
        <f t="shared" si="18"/>
        <v>0</v>
      </c>
      <c r="S149" s="39"/>
      <c r="T149" s="41"/>
    </row>
    <row r="150" spans="2:20" ht="15.6" x14ac:dyDescent="0.3">
      <c r="B150" s="33">
        <f t="shared" si="19"/>
        <v>16</v>
      </c>
      <c r="C150" s="60" t="s">
        <v>237</v>
      </c>
      <c r="D150" s="34" t="s">
        <v>238</v>
      </c>
      <c r="E150" s="35">
        <v>46022</v>
      </c>
      <c r="F150" s="36">
        <v>1003.5331</v>
      </c>
      <c r="G150" s="37">
        <v>10</v>
      </c>
      <c r="H150" s="38">
        <f t="shared" si="16"/>
        <v>100.35330999999999</v>
      </c>
      <c r="I150" s="36"/>
      <c r="J150" s="36"/>
      <c r="K150" s="36"/>
      <c r="L150" s="36"/>
      <c r="M150" s="36"/>
      <c r="N150" s="38">
        <f t="shared" si="17"/>
        <v>0</v>
      </c>
      <c r="O150" s="36"/>
      <c r="P150" s="39">
        <f>30</f>
        <v>30</v>
      </c>
      <c r="Q150" s="39"/>
      <c r="R150" s="40">
        <f t="shared" si="18"/>
        <v>30</v>
      </c>
      <c r="S150" s="39"/>
      <c r="T150" s="41"/>
    </row>
    <row r="151" spans="2:20" ht="15.6" x14ac:dyDescent="0.3">
      <c r="B151" s="33">
        <f t="shared" si="19"/>
        <v>17</v>
      </c>
      <c r="C151" s="60" t="s">
        <v>239</v>
      </c>
      <c r="D151" s="34" t="s">
        <v>240</v>
      </c>
      <c r="E151" s="35">
        <v>46022</v>
      </c>
      <c r="F151" s="36"/>
      <c r="G151" s="37"/>
      <c r="H151" s="38"/>
      <c r="I151" s="36"/>
      <c r="J151" s="36"/>
      <c r="K151" s="36"/>
      <c r="L151" s="36"/>
      <c r="M151" s="36"/>
      <c r="N151" s="38"/>
      <c r="O151" s="36"/>
      <c r="P151" s="39"/>
      <c r="Q151" s="39"/>
      <c r="R151" s="40"/>
      <c r="S151" s="39"/>
      <c r="T151" s="41"/>
    </row>
    <row r="152" spans="2:20" ht="15.6" x14ac:dyDescent="0.3">
      <c r="B152" s="33">
        <f t="shared" si="19"/>
        <v>18</v>
      </c>
      <c r="C152" s="33" t="s">
        <v>241</v>
      </c>
      <c r="D152" s="34" t="s">
        <v>242</v>
      </c>
      <c r="E152" s="35">
        <v>46022</v>
      </c>
      <c r="F152" s="36"/>
      <c r="G152" s="37">
        <v>10</v>
      </c>
      <c r="H152" s="38">
        <f t="shared" si="16"/>
        <v>0</v>
      </c>
      <c r="I152" s="36"/>
      <c r="J152" s="36"/>
      <c r="K152" s="36"/>
      <c r="L152" s="36"/>
      <c r="M152" s="36"/>
      <c r="N152" s="38">
        <f t="shared" si="17"/>
        <v>0</v>
      </c>
      <c r="O152" s="36"/>
      <c r="P152" s="39"/>
      <c r="Q152" s="39"/>
      <c r="R152" s="40">
        <f t="shared" si="18"/>
        <v>0</v>
      </c>
      <c r="S152" s="39"/>
      <c r="T152" s="41"/>
    </row>
    <row r="153" spans="2:20" ht="15.6" x14ac:dyDescent="0.3">
      <c r="B153" s="33">
        <f t="shared" si="19"/>
        <v>19</v>
      </c>
      <c r="C153" s="33" t="s">
        <v>243</v>
      </c>
      <c r="D153" s="34" t="s">
        <v>244</v>
      </c>
      <c r="E153" s="35">
        <v>46022</v>
      </c>
      <c r="F153" s="36"/>
      <c r="G153" s="37">
        <v>10</v>
      </c>
      <c r="H153" s="38">
        <f>+F153/G153</f>
        <v>0</v>
      </c>
      <c r="I153" s="36"/>
      <c r="J153" s="36"/>
      <c r="K153" s="36"/>
      <c r="L153" s="36"/>
      <c r="M153" s="36"/>
      <c r="N153" s="38">
        <f>+M153-O153</f>
        <v>0</v>
      </c>
      <c r="O153" s="36"/>
      <c r="P153" s="39"/>
      <c r="Q153" s="39"/>
      <c r="R153" s="40">
        <f>SUM(P153:Q153)</f>
        <v>0</v>
      </c>
      <c r="S153" s="39"/>
      <c r="T153" s="41"/>
    </row>
    <row r="154" spans="2:20" ht="15.6" x14ac:dyDescent="0.3">
      <c r="B154" s="33">
        <f t="shared" si="19"/>
        <v>20</v>
      </c>
      <c r="C154" s="33" t="s">
        <v>245</v>
      </c>
      <c r="D154" s="34" t="s">
        <v>246</v>
      </c>
      <c r="E154" s="35">
        <v>46022</v>
      </c>
      <c r="F154" s="36"/>
      <c r="G154" s="37">
        <v>10</v>
      </c>
      <c r="H154" s="38">
        <f t="shared" si="16"/>
        <v>0</v>
      </c>
      <c r="I154" s="36"/>
      <c r="J154" s="36"/>
      <c r="K154" s="36"/>
      <c r="L154" s="36"/>
      <c r="M154" s="36"/>
      <c r="N154" s="38">
        <f t="shared" si="17"/>
        <v>0</v>
      </c>
      <c r="O154" s="36"/>
      <c r="P154" s="39"/>
      <c r="Q154" s="39"/>
      <c r="R154" s="40">
        <f t="shared" si="18"/>
        <v>0</v>
      </c>
      <c r="S154" s="39"/>
      <c r="T154" s="41"/>
    </row>
    <row r="155" spans="2:20" ht="15.6" x14ac:dyDescent="0.3">
      <c r="B155" s="33">
        <f t="shared" si="19"/>
        <v>21</v>
      </c>
      <c r="C155" s="33" t="s">
        <v>247</v>
      </c>
      <c r="D155" s="34" t="s">
        <v>248</v>
      </c>
      <c r="E155" s="35">
        <v>46022</v>
      </c>
      <c r="F155" s="36"/>
      <c r="G155" s="37">
        <v>10</v>
      </c>
      <c r="H155" s="38">
        <f t="shared" si="16"/>
        <v>0</v>
      </c>
      <c r="I155" s="36"/>
      <c r="J155" s="36"/>
      <c r="K155" s="36"/>
      <c r="L155" s="36"/>
      <c r="M155" s="36"/>
      <c r="N155" s="38">
        <f t="shared" si="17"/>
        <v>0</v>
      </c>
      <c r="O155" s="36"/>
      <c r="P155" s="39"/>
      <c r="Q155" s="39"/>
      <c r="R155" s="40">
        <f t="shared" si="18"/>
        <v>0</v>
      </c>
      <c r="S155" s="39"/>
      <c r="T155" s="41"/>
    </row>
    <row r="156" spans="2:20" ht="15.6" x14ac:dyDescent="0.3">
      <c r="B156" s="33">
        <f t="shared" si="19"/>
        <v>22</v>
      </c>
      <c r="C156" s="33" t="s">
        <v>249</v>
      </c>
      <c r="D156" s="34" t="s">
        <v>250</v>
      </c>
      <c r="E156" s="35">
        <v>46022</v>
      </c>
      <c r="F156" s="36"/>
      <c r="G156" s="37">
        <v>10</v>
      </c>
      <c r="H156" s="38">
        <f t="shared" si="16"/>
        <v>0</v>
      </c>
      <c r="I156" s="36"/>
      <c r="J156" s="36"/>
      <c r="K156" s="36"/>
      <c r="L156" s="36"/>
      <c r="M156" s="36"/>
      <c r="N156" s="38">
        <f t="shared" si="17"/>
        <v>0</v>
      </c>
      <c r="O156" s="36"/>
      <c r="P156" s="39"/>
      <c r="Q156" s="39"/>
      <c r="R156" s="40">
        <f t="shared" si="18"/>
        <v>0</v>
      </c>
      <c r="S156" s="39"/>
      <c r="T156" s="41"/>
    </row>
    <row r="157" spans="2:20" ht="15.6" x14ac:dyDescent="0.3">
      <c r="B157" s="33">
        <f t="shared" si="19"/>
        <v>23</v>
      </c>
      <c r="C157" s="33" t="s">
        <v>251</v>
      </c>
      <c r="D157" s="34" t="s">
        <v>252</v>
      </c>
      <c r="E157" s="35">
        <v>46022</v>
      </c>
      <c r="F157" s="36"/>
      <c r="G157" s="37">
        <v>10</v>
      </c>
      <c r="H157" s="38">
        <f t="shared" si="16"/>
        <v>0</v>
      </c>
      <c r="I157" s="36"/>
      <c r="J157" s="36"/>
      <c r="K157" s="36"/>
      <c r="L157" s="36"/>
      <c r="M157" s="36"/>
      <c r="N157" s="38">
        <f t="shared" si="17"/>
        <v>0</v>
      </c>
      <c r="O157" s="36"/>
      <c r="P157" s="39"/>
      <c r="Q157" s="39"/>
      <c r="R157" s="40">
        <f t="shared" si="18"/>
        <v>0</v>
      </c>
      <c r="S157" s="39"/>
      <c r="T157" s="41"/>
    </row>
    <row r="158" spans="2:20" ht="15.6" x14ac:dyDescent="0.3">
      <c r="B158" s="33">
        <f t="shared" si="19"/>
        <v>24</v>
      </c>
      <c r="C158" s="60" t="s">
        <v>253</v>
      </c>
      <c r="D158" s="46" t="s">
        <v>254</v>
      </c>
      <c r="E158" s="35">
        <v>45838</v>
      </c>
      <c r="F158" s="36"/>
      <c r="G158" s="37">
        <v>10</v>
      </c>
      <c r="H158" s="38">
        <f>+F158/G158</f>
        <v>0</v>
      </c>
      <c r="I158" s="36"/>
      <c r="J158" s="36"/>
      <c r="K158" s="36"/>
      <c r="L158" s="36"/>
      <c r="M158" s="36"/>
      <c r="N158" s="38">
        <f>+M158-O158</f>
        <v>0</v>
      </c>
      <c r="O158" s="36"/>
      <c r="P158" s="39"/>
      <c r="Q158" s="39"/>
      <c r="R158" s="40">
        <f>SUM(P158:Q158)</f>
        <v>0</v>
      </c>
      <c r="S158" s="39"/>
      <c r="T158" s="41"/>
    </row>
    <row r="159" spans="2:20" ht="15.6" x14ac:dyDescent="0.3">
      <c r="B159" s="33">
        <f t="shared" si="19"/>
        <v>25</v>
      </c>
      <c r="C159" s="33" t="s">
        <v>255</v>
      </c>
      <c r="D159" s="34" t="s">
        <v>256</v>
      </c>
      <c r="E159" s="35">
        <v>46022</v>
      </c>
      <c r="F159" s="36"/>
      <c r="G159" s="37">
        <v>10</v>
      </c>
      <c r="H159" s="38">
        <f t="shared" si="16"/>
        <v>0</v>
      </c>
      <c r="I159" s="36"/>
      <c r="J159" s="36"/>
      <c r="K159" s="36"/>
      <c r="L159" s="36"/>
      <c r="M159" s="36"/>
      <c r="N159" s="38">
        <f t="shared" si="17"/>
        <v>0</v>
      </c>
      <c r="O159" s="36"/>
      <c r="P159" s="39"/>
      <c r="Q159" s="39"/>
      <c r="R159" s="40">
        <f t="shared" si="18"/>
        <v>0</v>
      </c>
      <c r="S159" s="39"/>
      <c r="T159" s="41"/>
    </row>
    <row r="160" spans="2:20" ht="15.6" x14ac:dyDescent="0.3">
      <c r="B160" s="33">
        <f t="shared" si="19"/>
        <v>26</v>
      </c>
      <c r="C160" s="33" t="s">
        <v>257</v>
      </c>
      <c r="D160" s="34" t="s">
        <v>258</v>
      </c>
      <c r="E160" s="35">
        <v>46022</v>
      </c>
      <c r="F160" s="36"/>
      <c r="G160" s="37">
        <v>10</v>
      </c>
      <c r="H160" s="38">
        <f t="shared" si="16"/>
        <v>0</v>
      </c>
      <c r="I160" s="36"/>
      <c r="J160" s="36"/>
      <c r="K160" s="36"/>
      <c r="L160" s="36"/>
      <c r="M160" s="36"/>
      <c r="N160" s="38">
        <f t="shared" si="17"/>
        <v>0</v>
      </c>
      <c r="O160" s="36"/>
      <c r="P160" s="39"/>
      <c r="Q160" s="39"/>
      <c r="R160" s="40">
        <f t="shared" si="18"/>
        <v>0</v>
      </c>
      <c r="S160" s="39"/>
      <c r="T160" s="41"/>
    </row>
    <row r="161" spans="2:20" ht="15.6" x14ac:dyDescent="0.3">
      <c r="B161" s="28"/>
      <c r="C161" s="28"/>
      <c r="D161" s="28"/>
      <c r="E161" s="28"/>
      <c r="F161" s="28"/>
      <c r="G161" s="43"/>
      <c r="H161" s="44"/>
      <c r="I161" s="30"/>
      <c r="J161" s="30"/>
      <c r="K161" s="30"/>
      <c r="L161" s="30"/>
      <c r="M161" s="30"/>
      <c r="N161" s="45"/>
      <c r="O161" s="30"/>
      <c r="P161" s="30"/>
      <c r="Q161" s="30"/>
      <c r="R161" s="45"/>
      <c r="S161" s="30"/>
      <c r="T161" s="30"/>
    </row>
    <row r="162" spans="2:20" ht="18" x14ac:dyDescent="0.35">
      <c r="B162" s="28"/>
      <c r="C162" s="28"/>
      <c r="D162" s="56" t="s">
        <v>30</v>
      </c>
      <c r="E162" s="28"/>
      <c r="F162" s="28"/>
      <c r="G162" s="43"/>
      <c r="H162" s="44"/>
      <c r="I162" s="30"/>
      <c r="J162" s="30"/>
      <c r="K162" s="30"/>
      <c r="L162" s="30"/>
      <c r="M162" s="30"/>
      <c r="N162" s="45"/>
      <c r="O162" s="30"/>
      <c r="P162" s="30"/>
      <c r="Q162" s="30"/>
      <c r="R162" s="45"/>
      <c r="S162" s="30"/>
      <c r="T162" s="30"/>
    </row>
    <row r="163" spans="2:20" ht="15.6" x14ac:dyDescent="0.3">
      <c r="B163" s="33">
        <v>1</v>
      </c>
      <c r="C163" s="33" t="s">
        <v>259</v>
      </c>
      <c r="D163" s="34" t="s">
        <v>260</v>
      </c>
      <c r="E163" s="35">
        <v>46022</v>
      </c>
      <c r="F163" s="36"/>
      <c r="G163" s="37">
        <v>10</v>
      </c>
      <c r="H163" s="38">
        <f t="shared" ref="H163:H167" si="20">+F163/G163</f>
        <v>0</v>
      </c>
      <c r="I163" s="36"/>
      <c r="J163" s="36"/>
      <c r="K163" s="36"/>
      <c r="L163" s="36"/>
      <c r="M163" s="36"/>
      <c r="N163" s="38">
        <f t="shared" ref="N163:N167" si="21">+M163-O163</f>
        <v>0</v>
      </c>
      <c r="O163" s="36"/>
      <c r="P163" s="39"/>
      <c r="Q163" s="39"/>
      <c r="R163" s="40">
        <f t="shared" ref="R163:R167" si="22">SUM(P163:Q163)</f>
        <v>0</v>
      </c>
      <c r="S163" s="39"/>
      <c r="T163" s="41"/>
    </row>
    <row r="164" spans="2:20" ht="15.6" x14ac:dyDescent="0.3">
      <c r="B164" s="33">
        <f>+B163+1</f>
        <v>2</v>
      </c>
      <c r="C164" s="33" t="s">
        <v>261</v>
      </c>
      <c r="D164" s="34" t="s">
        <v>262</v>
      </c>
      <c r="E164" s="35">
        <v>46022</v>
      </c>
      <c r="F164" s="36"/>
      <c r="G164" s="37">
        <v>10</v>
      </c>
      <c r="H164" s="38">
        <f t="shared" si="20"/>
        <v>0</v>
      </c>
      <c r="I164" s="36"/>
      <c r="J164" s="36"/>
      <c r="K164" s="36"/>
      <c r="L164" s="36"/>
      <c r="M164" s="36"/>
      <c r="N164" s="38">
        <f t="shared" si="21"/>
        <v>0</v>
      </c>
      <c r="O164" s="36"/>
      <c r="P164" s="39"/>
      <c r="Q164" s="39"/>
      <c r="R164" s="40">
        <f t="shared" si="22"/>
        <v>0</v>
      </c>
      <c r="S164" s="39"/>
      <c r="T164" s="41"/>
    </row>
    <row r="165" spans="2:20" ht="15.6" x14ac:dyDescent="0.3">
      <c r="B165" s="33">
        <f>+B164+1</f>
        <v>3</v>
      </c>
      <c r="C165" s="33" t="s">
        <v>263</v>
      </c>
      <c r="D165" s="34" t="s">
        <v>264</v>
      </c>
      <c r="E165" s="35">
        <v>46022</v>
      </c>
      <c r="F165" s="36"/>
      <c r="G165" s="37">
        <v>10</v>
      </c>
      <c r="H165" s="38">
        <f t="shared" si="20"/>
        <v>0</v>
      </c>
      <c r="I165" s="36"/>
      <c r="J165" s="36"/>
      <c r="K165" s="36"/>
      <c r="L165" s="36"/>
      <c r="M165" s="36"/>
      <c r="N165" s="38">
        <f t="shared" si="21"/>
        <v>0</v>
      </c>
      <c r="O165" s="36"/>
      <c r="P165" s="39"/>
      <c r="Q165" s="39"/>
      <c r="R165" s="40">
        <f t="shared" si="22"/>
        <v>0</v>
      </c>
      <c r="S165" s="39"/>
      <c r="T165" s="41"/>
    </row>
    <row r="166" spans="2:20" ht="15.6" x14ac:dyDescent="0.3">
      <c r="B166" s="33">
        <f>+B165+1</f>
        <v>4</v>
      </c>
      <c r="C166" s="33" t="s">
        <v>265</v>
      </c>
      <c r="D166" s="34" t="s">
        <v>266</v>
      </c>
      <c r="E166" s="35">
        <v>46022</v>
      </c>
      <c r="F166" s="36"/>
      <c r="G166" s="37">
        <v>10</v>
      </c>
      <c r="H166" s="38">
        <f t="shared" si="20"/>
        <v>0</v>
      </c>
      <c r="I166" s="36"/>
      <c r="J166" s="36"/>
      <c r="K166" s="36"/>
      <c r="L166" s="36"/>
      <c r="M166" s="36"/>
      <c r="N166" s="38">
        <f t="shared" si="21"/>
        <v>0</v>
      </c>
      <c r="O166" s="36"/>
      <c r="P166" s="39"/>
      <c r="Q166" s="39"/>
      <c r="R166" s="40">
        <f t="shared" si="22"/>
        <v>0</v>
      </c>
      <c r="S166" s="39"/>
      <c r="T166" s="41"/>
    </row>
    <row r="167" spans="2:20" ht="15.6" x14ac:dyDescent="0.3">
      <c r="B167" s="33">
        <f>+B166+1</f>
        <v>5</v>
      </c>
      <c r="C167" s="33" t="s">
        <v>267</v>
      </c>
      <c r="D167" s="34" t="s">
        <v>268</v>
      </c>
      <c r="E167" s="35">
        <v>46022</v>
      </c>
      <c r="F167" s="36"/>
      <c r="G167" s="37">
        <v>10</v>
      </c>
      <c r="H167" s="38">
        <f t="shared" si="20"/>
        <v>0</v>
      </c>
      <c r="I167" s="36"/>
      <c r="J167" s="36"/>
      <c r="K167" s="36"/>
      <c r="L167" s="36"/>
      <c r="M167" s="36"/>
      <c r="N167" s="38">
        <f t="shared" si="21"/>
        <v>0</v>
      </c>
      <c r="O167" s="36"/>
      <c r="P167" s="39"/>
      <c r="Q167" s="39"/>
      <c r="R167" s="40">
        <f t="shared" si="22"/>
        <v>0</v>
      </c>
      <c r="S167" s="39"/>
      <c r="T167" s="41"/>
    </row>
    <row r="168" spans="2:20" ht="15.6" x14ac:dyDescent="0.3">
      <c r="B168" s="28"/>
      <c r="C168" s="28"/>
      <c r="D168" s="28"/>
      <c r="E168" s="28"/>
      <c r="F168" s="28"/>
      <c r="G168" s="43"/>
      <c r="H168" s="44"/>
      <c r="I168" s="30"/>
      <c r="J168" s="30"/>
      <c r="K168" s="30"/>
      <c r="L168" s="30"/>
      <c r="M168" s="30"/>
      <c r="N168" s="45"/>
      <c r="O168" s="30"/>
      <c r="P168" s="30"/>
      <c r="Q168" s="30"/>
      <c r="R168" s="45"/>
      <c r="S168" s="30"/>
      <c r="T168" s="30"/>
    </row>
    <row r="169" spans="2:20" ht="15.6" x14ac:dyDescent="0.3">
      <c r="B169" s="47">
        <f>COUNT(B135:B168)</f>
        <v>31</v>
      </c>
      <c r="C169" s="47"/>
      <c r="D169" s="48"/>
      <c r="E169" s="48"/>
      <c r="F169" s="48">
        <f>SUM(F135:F168)</f>
        <v>16376.794450000001</v>
      </c>
      <c r="G169" s="49"/>
      <c r="H169" s="50">
        <f>SUM(H135:H168)</f>
        <v>1637.679445</v>
      </c>
      <c r="I169" s="48">
        <f>SUM(I135:I168)</f>
        <v>0</v>
      </c>
      <c r="J169" s="48">
        <f>SUM(J135:J168)</f>
        <v>0</v>
      </c>
      <c r="K169" s="48">
        <f>SUM(K135:K168)</f>
        <v>0</v>
      </c>
      <c r="L169" s="48">
        <f>SUM(L135:L168)</f>
        <v>0</v>
      </c>
      <c r="M169" s="48">
        <f>SUM(M135:M168)</f>
        <v>0</v>
      </c>
      <c r="N169" s="51">
        <f>SUM(N135:N168)</f>
        <v>0</v>
      </c>
      <c r="O169" s="48">
        <f>SUM(O135:O168)</f>
        <v>0</v>
      </c>
      <c r="P169" s="52"/>
      <c r="Q169" s="52"/>
      <c r="R169" s="53"/>
      <c r="S169" s="52"/>
      <c r="T169" s="54">
        <f>SUM(T135:T168)</f>
        <v>0</v>
      </c>
    </row>
    <row r="170" spans="2:20" ht="15.6" x14ac:dyDescent="0.3">
      <c r="B170" s="28"/>
      <c r="C170" s="28"/>
      <c r="D170" s="28"/>
      <c r="E170" s="28"/>
      <c r="F170" s="28"/>
      <c r="G170" s="43"/>
      <c r="H170" s="44"/>
      <c r="I170" s="30"/>
      <c r="J170" s="30"/>
      <c r="K170" s="30"/>
      <c r="L170" s="30"/>
      <c r="M170" s="30"/>
      <c r="N170" s="45"/>
      <c r="O170" s="30"/>
      <c r="P170" s="30"/>
      <c r="Q170" s="30"/>
      <c r="R170" s="45"/>
      <c r="S170" s="30"/>
      <c r="T170" s="30"/>
    </row>
    <row r="171" spans="2:20" ht="15.6" x14ac:dyDescent="0.3">
      <c r="B171" s="28"/>
      <c r="C171" s="28"/>
      <c r="D171" s="28"/>
      <c r="E171" s="28"/>
      <c r="F171" s="28"/>
      <c r="G171" s="43"/>
      <c r="H171" s="44"/>
      <c r="I171" s="30"/>
      <c r="J171" s="30"/>
      <c r="K171" s="30"/>
      <c r="L171" s="30"/>
      <c r="M171" s="30"/>
      <c r="N171" s="45"/>
      <c r="O171" s="30"/>
      <c r="P171" s="30"/>
      <c r="Q171" s="30"/>
      <c r="R171" s="45"/>
      <c r="S171" s="30"/>
      <c r="T171" s="30"/>
    </row>
    <row r="172" spans="2:20" ht="18" x14ac:dyDescent="0.35">
      <c r="B172" s="28"/>
      <c r="C172" s="32">
        <v>7</v>
      </c>
      <c r="D172" s="32" t="s">
        <v>269</v>
      </c>
      <c r="E172" s="61"/>
      <c r="F172" s="61"/>
      <c r="G172" s="43"/>
      <c r="H172" s="44"/>
      <c r="I172" s="30"/>
      <c r="J172" s="30"/>
      <c r="K172" s="30"/>
      <c r="L172" s="30"/>
      <c r="M172" s="30"/>
      <c r="N172" s="45"/>
      <c r="O172" s="30"/>
      <c r="P172" s="30"/>
      <c r="Q172" s="30"/>
      <c r="R172" s="45"/>
      <c r="S172" s="30"/>
      <c r="T172" s="30"/>
    </row>
    <row r="173" spans="2:20" ht="15.6" x14ac:dyDescent="0.3">
      <c r="B173" s="28"/>
      <c r="C173" s="28"/>
      <c r="D173" s="28"/>
      <c r="E173" s="28"/>
      <c r="F173" s="28"/>
      <c r="G173" s="43"/>
      <c r="H173" s="44"/>
      <c r="I173" s="30"/>
      <c r="J173" s="30"/>
      <c r="K173" s="30"/>
      <c r="L173" s="30"/>
      <c r="M173" s="30"/>
      <c r="N173" s="45"/>
      <c r="O173" s="30"/>
      <c r="P173" s="30"/>
      <c r="Q173" s="30"/>
      <c r="R173" s="45"/>
      <c r="S173" s="30"/>
      <c r="T173" s="30"/>
    </row>
    <row r="174" spans="2:20" ht="15.6" x14ac:dyDescent="0.3">
      <c r="B174" s="60">
        <v>1</v>
      </c>
      <c r="C174" s="60" t="s">
        <v>270</v>
      </c>
      <c r="D174" s="34" t="s">
        <v>271</v>
      </c>
      <c r="E174" s="35">
        <v>45838</v>
      </c>
      <c r="F174" s="36">
        <v>22237</v>
      </c>
      <c r="G174" s="37">
        <v>10</v>
      </c>
      <c r="H174" s="38">
        <f>+F174/G174</f>
        <v>2223.6999999999998</v>
      </c>
      <c r="I174" s="36">
        <v>76511.142999999996</v>
      </c>
      <c r="J174" s="36">
        <v>77460.87</v>
      </c>
      <c r="K174" s="36">
        <v>5874.6139999999996</v>
      </c>
      <c r="L174" s="36">
        <v>0</v>
      </c>
      <c r="M174" s="36">
        <v>7991.9110000000001</v>
      </c>
      <c r="N174" s="38">
        <f>+M174-O174</f>
        <v>0</v>
      </c>
      <c r="O174" s="36">
        <v>7991.9110000000001</v>
      </c>
      <c r="P174" s="39">
        <f>5+5.5+5.5+6.3</f>
        <v>22.3</v>
      </c>
      <c r="Q174" s="39">
        <v>0</v>
      </c>
      <c r="R174" s="40">
        <f>SUM(P174:Q174)</f>
        <v>22.3</v>
      </c>
      <c r="S174" s="39"/>
      <c r="T174" s="41">
        <v>13826</v>
      </c>
    </row>
    <row r="175" spans="2:20" ht="15.6" x14ac:dyDescent="0.3">
      <c r="B175" s="60">
        <f>+B174+1</f>
        <v>2</v>
      </c>
      <c r="C175" s="60" t="s">
        <v>272</v>
      </c>
      <c r="D175" s="34" t="s">
        <v>273</v>
      </c>
      <c r="E175" s="35">
        <v>45838</v>
      </c>
      <c r="F175" s="36">
        <v>1400</v>
      </c>
      <c r="G175" s="37">
        <v>10</v>
      </c>
      <c r="H175" s="38">
        <f>+F175/G175</f>
        <v>140</v>
      </c>
      <c r="I175" s="36">
        <v>1981.63</v>
      </c>
      <c r="J175" s="36">
        <v>5618.75</v>
      </c>
      <c r="K175" s="36">
        <v>2627.4780000000001</v>
      </c>
      <c r="L175" s="36">
        <v>0</v>
      </c>
      <c r="M175" s="36">
        <v>544.73699999999997</v>
      </c>
      <c r="N175" s="38">
        <f>+M175-O175</f>
        <v>5.5119999999999436</v>
      </c>
      <c r="O175" s="36">
        <v>539.22500000000002</v>
      </c>
      <c r="P175" s="39">
        <v>35</v>
      </c>
      <c r="Q175" s="39">
        <v>0</v>
      </c>
      <c r="R175" s="40">
        <f>SUM(P175:Q175)</f>
        <v>35</v>
      </c>
      <c r="S175" s="39"/>
      <c r="T175" s="41">
        <v>1540</v>
      </c>
    </row>
    <row r="176" spans="2:20" ht="15.6" x14ac:dyDescent="0.3">
      <c r="B176" s="60">
        <f>+B175+1</f>
        <v>3</v>
      </c>
      <c r="C176" s="60" t="s">
        <v>274</v>
      </c>
      <c r="D176" s="34" t="s">
        <v>275</v>
      </c>
      <c r="E176" s="35">
        <v>45838</v>
      </c>
      <c r="F176" s="36"/>
      <c r="G176" s="37">
        <v>10</v>
      </c>
      <c r="H176" s="38">
        <f>+F176/G176</f>
        <v>0</v>
      </c>
      <c r="I176" s="36"/>
      <c r="J176" s="36"/>
      <c r="K176" s="36"/>
      <c r="L176" s="36"/>
      <c r="M176" s="36"/>
      <c r="N176" s="38">
        <f>+M176-O176</f>
        <v>0</v>
      </c>
      <c r="O176" s="36"/>
      <c r="P176" s="39"/>
      <c r="Q176" s="39"/>
      <c r="R176" s="40">
        <f>SUM(P176:Q176)</f>
        <v>0</v>
      </c>
      <c r="S176" s="39"/>
      <c r="T176" s="41"/>
    </row>
    <row r="177" spans="2:20" ht="15.6" x14ac:dyDescent="0.3">
      <c r="B177" s="60">
        <f>+B176+1</f>
        <v>4</v>
      </c>
      <c r="C177" s="60" t="s">
        <v>276</v>
      </c>
      <c r="D177" s="34" t="s">
        <v>277</v>
      </c>
      <c r="E177" s="35">
        <v>45838</v>
      </c>
      <c r="F177" s="36">
        <v>18350</v>
      </c>
      <c r="G177" s="37">
        <v>10</v>
      </c>
      <c r="H177" s="38">
        <f>+F177/G177</f>
        <v>1835</v>
      </c>
      <c r="I177" s="36">
        <v>33558.811000000002</v>
      </c>
      <c r="J177" s="36">
        <v>36384.873</v>
      </c>
      <c r="K177" s="36">
        <v>1541.0260000000001</v>
      </c>
      <c r="L177" s="36">
        <v>38.481000000000002</v>
      </c>
      <c r="M177" s="36">
        <v>758.28499999999997</v>
      </c>
      <c r="N177" s="38">
        <f>+M177-O177</f>
        <v>0</v>
      </c>
      <c r="O177" s="36">
        <v>758.28499999999997</v>
      </c>
      <c r="P177" s="39">
        <v>0</v>
      </c>
      <c r="Q177" s="39">
        <v>0</v>
      </c>
      <c r="R177" s="40">
        <f>SUM(P177:Q177)</f>
        <v>0</v>
      </c>
      <c r="S177" s="39"/>
      <c r="T177" s="41"/>
    </row>
    <row r="178" spans="2:20" ht="15.6" x14ac:dyDescent="0.3">
      <c r="B178" s="28"/>
      <c r="C178" s="28"/>
      <c r="D178" s="28"/>
      <c r="E178" s="28"/>
      <c r="F178" s="28"/>
      <c r="G178" s="43"/>
      <c r="H178" s="44"/>
      <c r="I178" s="30"/>
      <c r="J178" s="30"/>
      <c r="K178" s="30"/>
      <c r="L178" s="30"/>
      <c r="M178" s="30"/>
      <c r="N178" s="45"/>
      <c r="O178" s="30"/>
      <c r="P178" s="30"/>
      <c r="Q178" s="30"/>
      <c r="R178" s="45"/>
      <c r="S178" s="30"/>
      <c r="T178" s="30"/>
    </row>
    <row r="179" spans="2:20" ht="15.6" x14ac:dyDescent="0.3">
      <c r="B179" s="47">
        <f>COUNT(B174:B178)</f>
        <v>4</v>
      </c>
      <c r="C179" s="47"/>
      <c r="D179" s="48"/>
      <c r="E179" s="48"/>
      <c r="F179" s="48">
        <f>SUM(F174:F178)</f>
        <v>41987</v>
      </c>
      <c r="G179" s="49"/>
      <c r="H179" s="50">
        <f t="shared" ref="H179:O179" si="23">SUM(H174:H178)</f>
        <v>4198.7</v>
      </c>
      <c r="I179" s="48">
        <f t="shared" si="23"/>
        <v>112051.584</v>
      </c>
      <c r="J179" s="48">
        <f t="shared" si="23"/>
        <v>119464.49299999999</v>
      </c>
      <c r="K179" s="48">
        <f t="shared" si="23"/>
        <v>10043.118</v>
      </c>
      <c r="L179" s="48">
        <f t="shared" si="23"/>
        <v>38.481000000000002</v>
      </c>
      <c r="M179" s="48">
        <f t="shared" si="23"/>
        <v>9294.9329999999991</v>
      </c>
      <c r="N179" s="51">
        <f t="shared" si="23"/>
        <v>5.5119999999999436</v>
      </c>
      <c r="O179" s="48">
        <f t="shared" si="23"/>
        <v>9289.4210000000003</v>
      </c>
      <c r="P179" s="52"/>
      <c r="Q179" s="52"/>
      <c r="R179" s="53"/>
      <c r="S179" s="52"/>
      <c r="T179" s="54">
        <f>SUM(T174:T178)</f>
        <v>15366</v>
      </c>
    </row>
    <row r="180" spans="2:20" ht="15.6" x14ac:dyDescent="0.3">
      <c r="B180" s="63"/>
      <c r="C180" s="63"/>
      <c r="D180" s="72"/>
      <c r="E180" s="72"/>
      <c r="F180" s="72"/>
      <c r="G180" s="73"/>
      <c r="H180" s="74"/>
      <c r="I180" s="72"/>
      <c r="J180" s="72"/>
      <c r="K180" s="72"/>
      <c r="L180" s="72"/>
      <c r="M180" s="72"/>
      <c r="N180" s="74"/>
      <c r="O180" s="72"/>
      <c r="P180" s="75"/>
      <c r="Q180" s="75"/>
      <c r="R180" s="76"/>
      <c r="S180" s="75"/>
      <c r="T180" s="77"/>
    </row>
    <row r="181" spans="2:20" ht="15.6" x14ac:dyDescent="0.3">
      <c r="B181" s="28"/>
      <c r="C181" s="28"/>
      <c r="D181" s="28"/>
      <c r="E181" s="28"/>
      <c r="F181" s="28"/>
      <c r="G181" s="43"/>
      <c r="H181" s="44"/>
      <c r="I181" s="30"/>
      <c r="J181" s="30"/>
      <c r="K181" s="30"/>
      <c r="L181" s="30"/>
      <c r="M181" s="30"/>
      <c r="N181" s="45"/>
      <c r="O181" s="30"/>
      <c r="P181" s="30"/>
      <c r="Q181" s="30"/>
      <c r="R181" s="45"/>
      <c r="S181" s="30"/>
      <c r="T181" s="30"/>
    </row>
    <row r="182" spans="2:20" ht="18" x14ac:dyDescent="0.35">
      <c r="B182" s="28"/>
      <c r="C182" s="32">
        <v>8</v>
      </c>
      <c r="D182" s="32" t="s">
        <v>278</v>
      </c>
      <c r="E182" s="61"/>
      <c r="F182" s="61"/>
      <c r="G182" s="43"/>
      <c r="H182" s="44"/>
      <c r="I182" s="30"/>
      <c r="J182" s="30"/>
      <c r="K182" s="30"/>
      <c r="L182" s="30"/>
      <c r="M182" s="30"/>
      <c r="N182" s="45"/>
      <c r="O182" s="30"/>
      <c r="P182" s="30"/>
      <c r="Q182" s="30"/>
      <c r="R182" s="45"/>
      <c r="S182" s="30"/>
      <c r="T182" s="30"/>
    </row>
    <row r="183" spans="2:20" ht="15.6" x14ac:dyDescent="0.3">
      <c r="B183" s="28"/>
      <c r="C183" s="28"/>
      <c r="D183" s="28"/>
      <c r="E183" s="28"/>
      <c r="F183" s="28"/>
      <c r="G183" s="43"/>
      <c r="H183" s="44"/>
      <c r="I183" s="30"/>
      <c r="J183" s="30"/>
      <c r="K183" s="30"/>
      <c r="L183" s="30"/>
      <c r="M183" s="30"/>
      <c r="N183" s="45"/>
      <c r="O183" s="30"/>
      <c r="P183" s="30"/>
      <c r="Q183" s="30"/>
      <c r="R183" s="45"/>
      <c r="S183" s="30"/>
      <c r="T183" s="30"/>
    </row>
    <row r="185" spans="2:20" ht="15.6" x14ac:dyDescent="0.3">
      <c r="B185" s="60">
        <v>1</v>
      </c>
      <c r="C185" s="60" t="s">
        <v>279</v>
      </c>
      <c r="D185" s="34" t="s">
        <v>280</v>
      </c>
      <c r="E185" s="35">
        <v>45838</v>
      </c>
      <c r="F185" s="36">
        <v>222.13346999999999</v>
      </c>
      <c r="G185" s="37">
        <v>5</v>
      </c>
      <c r="H185" s="38">
        <f>+F185/G185</f>
        <v>44.426693999999998</v>
      </c>
      <c r="I185" s="36">
        <v>2507.7274699999998</v>
      </c>
      <c r="J185" s="36">
        <v>3025.1441300000001</v>
      </c>
      <c r="K185" s="36">
        <v>64.779639000000003</v>
      </c>
      <c r="L185" s="36">
        <v>23.197483999999999</v>
      </c>
      <c r="M185" s="36">
        <v>128.69750400000001</v>
      </c>
      <c r="N185" s="38">
        <f>+M185-O185</f>
        <v>77.683987000000002</v>
      </c>
      <c r="O185" s="36">
        <v>51.013517</v>
      </c>
      <c r="P185" s="39">
        <v>0</v>
      </c>
      <c r="Q185" s="39">
        <v>0</v>
      </c>
      <c r="R185" s="40">
        <f>SUM(P185:Q185)</f>
        <v>0</v>
      </c>
      <c r="S185" s="39"/>
      <c r="T185" s="41"/>
    </row>
    <row r="186" spans="2:20" ht="15.6" x14ac:dyDescent="0.3">
      <c r="B186" s="60">
        <f>+B185+1</f>
        <v>2</v>
      </c>
      <c r="C186" s="60" t="s">
        <v>281</v>
      </c>
      <c r="D186" s="34" t="s">
        <v>282</v>
      </c>
      <c r="E186" s="35">
        <v>45838</v>
      </c>
      <c r="F186" s="36">
        <v>131.74799999999999</v>
      </c>
      <c r="G186" s="37">
        <v>10</v>
      </c>
      <c r="H186" s="38">
        <f t="shared" ref="H186:H217" si="24">+F186/G186</f>
        <v>13.174799999999999</v>
      </c>
      <c r="I186" s="36">
        <v>428.24200000000002</v>
      </c>
      <c r="J186" s="36">
        <v>890.80700000000002</v>
      </c>
      <c r="K186" s="36">
        <v>2732.9540000000002</v>
      </c>
      <c r="L186" s="36">
        <v>2.1869999999999998</v>
      </c>
      <c r="M186" s="36">
        <v>146.547</v>
      </c>
      <c r="N186" s="38">
        <f t="shared" ref="N186:N217" si="25">+M186-O186</f>
        <v>44.027999999999992</v>
      </c>
      <c r="O186" s="36">
        <v>102.51900000000001</v>
      </c>
      <c r="P186" s="39">
        <v>0</v>
      </c>
      <c r="Q186" s="39">
        <v>0</v>
      </c>
      <c r="R186" s="40">
        <f t="shared" ref="R186" si="26">SUM(P186:Q186)</f>
        <v>0</v>
      </c>
      <c r="S186" s="39"/>
      <c r="T186" s="41">
        <v>1769</v>
      </c>
    </row>
    <row r="187" spans="2:20" ht="15.6" x14ac:dyDescent="0.3">
      <c r="B187" s="60">
        <f t="shared" ref="B187:B217" si="27">+B186+1</f>
        <v>3</v>
      </c>
      <c r="C187" s="60" t="s">
        <v>283</v>
      </c>
      <c r="D187" s="34" t="s">
        <v>284</v>
      </c>
      <c r="E187" s="35">
        <v>45838</v>
      </c>
      <c r="F187" s="36">
        <v>80</v>
      </c>
      <c r="G187" s="37">
        <v>10</v>
      </c>
      <c r="H187" s="38">
        <f t="shared" si="24"/>
        <v>8</v>
      </c>
      <c r="I187" s="36">
        <v>1477.7184999999999</v>
      </c>
      <c r="J187" s="36">
        <v>3590.60592</v>
      </c>
      <c r="K187" s="36">
        <v>4353.5136400000001</v>
      </c>
      <c r="L187" s="36">
        <v>150.34282300000001</v>
      </c>
      <c r="M187" s="36">
        <v>-96.473788999999996</v>
      </c>
      <c r="N187" s="38">
        <f t="shared" si="25"/>
        <v>-26.642512999999994</v>
      </c>
      <c r="O187" s="36">
        <v>-69.831276000000003</v>
      </c>
      <c r="P187" s="39">
        <v>0</v>
      </c>
      <c r="Q187" s="39">
        <v>0</v>
      </c>
      <c r="R187" s="40">
        <f t="shared" ref="R187:R217" si="28">SUM(P187:Q187)</f>
        <v>0</v>
      </c>
      <c r="S187" s="39"/>
      <c r="T187" s="41">
        <v>169</v>
      </c>
    </row>
    <row r="188" spans="2:20" ht="15.6" x14ac:dyDescent="0.3">
      <c r="B188" s="60">
        <f t="shared" si="27"/>
        <v>4</v>
      </c>
      <c r="C188" s="60" t="s">
        <v>285</v>
      </c>
      <c r="D188" s="34" t="s">
        <v>286</v>
      </c>
      <c r="E188" s="35">
        <v>45838</v>
      </c>
      <c r="F188" s="36">
        <v>226.60122999999999</v>
      </c>
      <c r="G188" s="37">
        <v>10</v>
      </c>
      <c r="H188" s="38">
        <f t="shared" si="24"/>
        <v>22.660122999999999</v>
      </c>
      <c r="I188" s="36">
        <v>6040.5159999999996</v>
      </c>
      <c r="J188" s="36">
        <v>8410.5120000000006</v>
      </c>
      <c r="K188" s="36">
        <v>5573.5010000000002</v>
      </c>
      <c r="L188" s="36">
        <v>85.272000000000006</v>
      </c>
      <c r="M188" s="36">
        <f>11.133+54.221</f>
        <v>65.353999999999999</v>
      </c>
      <c r="N188" s="38">
        <f t="shared" si="25"/>
        <v>4.6439999999999984</v>
      </c>
      <c r="O188" s="36">
        <v>60.71</v>
      </c>
      <c r="P188" s="39">
        <v>0</v>
      </c>
      <c r="Q188" s="39">
        <v>0</v>
      </c>
      <c r="R188" s="40">
        <f t="shared" si="28"/>
        <v>0</v>
      </c>
      <c r="S188" s="39"/>
      <c r="T188" s="41">
        <v>1450</v>
      </c>
    </row>
    <row r="189" spans="2:20" ht="15.6" x14ac:dyDescent="0.3">
      <c r="B189" s="60">
        <f t="shared" si="27"/>
        <v>5</v>
      </c>
      <c r="C189" s="60" t="s">
        <v>287</v>
      </c>
      <c r="D189" s="34" t="s">
        <v>288</v>
      </c>
      <c r="E189" s="35">
        <v>45838</v>
      </c>
      <c r="F189" s="36">
        <v>124.17876</v>
      </c>
      <c r="G189" s="37">
        <v>10</v>
      </c>
      <c r="H189" s="38">
        <f t="shared" si="24"/>
        <v>12.417876</v>
      </c>
      <c r="I189" s="36">
        <v>3221.5619799999999</v>
      </c>
      <c r="J189" s="36">
        <v>6002.1581550000001</v>
      </c>
      <c r="K189" s="36">
        <v>4330.5393409999997</v>
      </c>
      <c r="L189" s="36">
        <v>199.45950500000001</v>
      </c>
      <c r="M189" s="36">
        <v>-798.08340299999998</v>
      </c>
      <c r="N189" s="38">
        <f t="shared" si="25"/>
        <v>-22.371704000000022</v>
      </c>
      <c r="O189" s="36">
        <v>-775.71169899999995</v>
      </c>
      <c r="P189" s="39">
        <v>0</v>
      </c>
      <c r="Q189" s="39">
        <v>0</v>
      </c>
      <c r="R189" s="40">
        <f t="shared" si="28"/>
        <v>0</v>
      </c>
      <c r="S189" s="39"/>
      <c r="T189" s="41">
        <v>1412</v>
      </c>
    </row>
    <row r="190" spans="2:20" ht="15.6" x14ac:dyDescent="0.3">
      <c r="B190" s="60">
        <f t="shared" si="27"/>
        <v>6</v>
      </c>
      <c r="C190" s="60" t="s">
        <v>289</v>
      </c>
      <c r="D190" s="34" t="s">
        <v>290</v>
      </c>
      <c r="E190" s="35">
        <v>45838</v>
      </c>
      <c r="F190" s="36">
        <v>4981</v>
      </c>
      <c r="G190" s="37">
        <v>10</v>
      </c>
      <c r="H190" s="38">
        <f t="shared" si="24"/>
        <v>498.1</v>
      </c>
      <c r="I190" s="36">
        <v>5099.973</v>
      </c>
      <c r="J190" s="36">
        <v>26967.866999999998</v>
      </c>
      <c r="K190" s="36">
        <v>16888.072</v>
      </c>
      <c r="L190" s="36">
        <v>1404.7829999999999</v>
      </c>
      <c r="M190" s="36">
        <v>-2012.134</v>
      </c>
      <c r="N190" s="38">
        <f t="shared" si="25"/>
        <v>221.88400000000001</v>
      </c>
      <c r="O190" s="36">
        <v>-2234.018</v>
      </c>
      <c r="P190" s="39">
        <v>0</v>
      </c>
      <c r="Q190" s="39">
        <v>0</v>
      </c>
      <c r="R190" s="40">
        <f t="shared" si="28"/>
        <v>0</v>
      </c>
      <c r="S190" s="39"/>
      <c r="T190" s="41">
        <v>2793</v>
      </c>
    </row>
    <row r="191" spans="2:20" ht="15.6" x14ac:dyDescent="0.3">
      <c r="B191" s="60">
        <f t="shared" si="27"/>
        <v>7</v>
      </c>
      <c r="C191" s="60" t="s">
        <v>291</v>
      </c>
      <c r="D191" s="34" t="s">
        <v>292</v>
      </c>
      <c r="E191" s="35">
        <v>45838</v>
      </c>
      <c r="F191" s="36">
        <v>524.66749000000004</v>
      </c>
      <c r="G191" s="37">
        <v>10</v>
      </c>
      <c r="H191" s="38">
        <f t="shared" si="24"/>
        <v>52.466749000000007</v>
      </c>
      <c r="I191" s="36">
        <v>8045.2642059999998</v>
      </c>
      <c r="J191" s="36">
        <v>34488.336955999999</v>
      </c>
      <c r="K191" s="36">
        <v>40118.920718000001</v>
      </c>
      <c r="L191" s="36">
        <v>3039.3701179999998</v>
      </c>
      <c r="M191" s="36">
        <v>-706.36563000000001</v>
      </c>
      <c r="N191" s="38">
        <f t="shared" si="25"/>
        <v>0.13041899999996076</v>
      </c>
      <c r="O191" s="36">
        <v>-706.49604899999997</v>
      </c>
      <c r="P191" s="39">
        <v>0</v>
      </c>
      <c r="Q191" s="39">
        <v>0</v>
      </c>
      <c r="R191" s="40">
        <f t="shared" si="28"/>
        <v>0</v>
      </c>
      <c r="S191" s="39"/>
      <c r="T191" s="41">
        <v>890</v>
      </c>
    </row>
    <row r="192" spans="2:20" ht="15.6" x14ac:dyDescent="0.3">
      <c r="B192" s="60">
        <f t="shared" si="27"/>
        <v>8</v>
      </c>
      <c r="C192" s="60" t="s">
        <v>293</v>
      </c>
      <c r="D192" s="46" t="s">
        <v>294</v>
      </c>
      <c r="E192" s="35">
        <v>45838</v>
      </c>
      <c r="F192" s="36">
        <v>30.524290000000001</v>
      </c>
      <c r="G192" s="37">
        <v>10</v>
      </c>
      <c r="H192" s="38">
        <f>+F192/G192</f>
        <v>3.0524290000000001</v>
      </c>
      <c r="I192" s="36">
        <v>713.21697800000004</v>
      </c>
      <c r="J192" s="36">
        <v>810.50894100000005</v>
      </c>
      <c r="K192" s="36">
        <v>32.481104000000002</v>
      </c>
      <c r="L192" s="36">
        <v>2.1680000000000001E-2</v>
      </c>
      <c r="M192" s="36">
        <v>40.391762</v>
      </c>
      <c r="N192" s="38">
        <f>+M192-O192</f>
        <v>-4.9081619999999972</v>
      </c>
      <c r="O192" s="36">
        <v>45.299923999999997</v>
      </c>
      <c r="P192" s="39">
        <v>0</v>
      </c>
      <c r="Q192" s="39">
        <v>0</v>
      </c>
      <c r="R192" s="40">
        <f>SUM(P192:Q192)</f>
        <v>0</v>
      </c>
      <c r="S192" s="39"/>
      <c r="T192" s="41">
        <v>333</v>
      </c>
    </row>
    <row r="193" spans="2:20" ht="15.6" x14ac:dyDescent="0.3">
      <c r="B193" s="60">
        <f t="shared" si="27"/>
        <v>9</v>
      </c>
      <c r="C193" s="60" t="s">
        <v>295</v>
      </c>
      <c r="D193" s="34" t="s">
        <v>296</v>
      </c>
      <c r="E193" s="35">
        <v>45838</v>
      </c>
      <c r="F193" s="36">
        <v>836.85631000000001</v>
      </c>
      <c r="G193" s="37">
        <v>10</v>
      </c>
      <c r="H193" s="38">
        <f t="shared" si="24"/>
        <v>83.685631000000001</v>
      </c>
      <c r="I193" s="36">
        <v>189.03742399999999</v>
      </c>
      <c r="J193" s="36">
        <v>284.68322799999999</v>
      </c>
      <c r="K193" s="36">
        <v>3.782537</v>
      </c>
      <c r="L193" s="36">
        <v>0.79038200000000003</v>
      </c>
      <c r="M193" s="36">
        <v>5.5930499999999999</v>
      </c>
      <c r="N193" s="38">
        <f t="shared" si="25"/>
        <v>0.34707699999999964</v>
      </c>
      <c r="O193" s="36">
        <v>5.2459730000000002</v>
      </c>
      <c r="P193" s="39">
        <v>0</v>
      </c>
      <c r="Q193" s="39">
        <v>0</v>
      </c>
      <c r="R193" s="40">
        <f t="shared" si="28"/>
        <v>0</v>
      </c>
      <c r="S193" s="39"/>
      <c r="T193" s="41">
        <v>1705</v>
      </c>
    </row>
    <row r="194" spans="2:20" ht="15.6" x14ac:dyDescent="0.3">
      <c r="B194" s="60">
        <f t="shared" si="27"/>
        <v>10</v>
      </c>
      <c r="C194" s="60" t="s">
        <v>297</v>
      </c>
      <c r="D194" s="34" t="s">
        <v>298</v>
      </c>
      <c r="E194" s="35">
        <v>45838</v>
      </c>
      <c r="F194" s="36">
        <v>13</v>
      </c>
      <c r="G194" s="37">
        <v>10</v>
      </c>
      <c r="H194" s="38">
        <f t="shared" si="24"/>
        <v>1.3</v>
      </c>
      <c r="I194" s="36">
        <v>92.675698999999994</v>
      </c>
      <c r="J194" s="36">
        <v>276.53328699999997</v>
      </c>
      <c r="K194" s="36">
        <v>996.62385200000006</v>
      </c>
      <c r="L194" s="36">
        <v>0.17363400000000001</v>
      </c>
      <c r="M194" s="36">
        <v>10.592022999999999</v>
      </c>
      <c r="N194" s="38">
        <f t="shared" si="25"/>
        <v>0</v>
      </c>
      <c r="O194" s="36">
        <v>10.592022999999999</v>
      </c>
      <c r="P194" s="39">
        <v>0</v>
      </c>
      <c r="Q194" s="39">
        <v>0</v>
      </c>
      <c r="R194" s="40">
        <f t="shared" si="28"/>
        <v>0</v>
      </c>
      <c r="S194" s="39"/>
      <c r="T194" s="41">
        <v>137</v>
      </c>
    </row>
    <row r="195" spans="2:20" ht="15.6" x14ac:dyDescent="0.3">
      <c r="B195" s="60">
        <f t="shared" si="27"/>
        <v>11</v>
      </c>
      <c r="C195" s="60" t="s">
        <v>299</v>
      </c>
      <c r="D195" s="34" t="s">
        <v>300</v>
      </c>
      <c r="E195" s="35">
        <v>45838</v>
      </c>
      <c r="F195" s="36">
        <v>109.5</v>
      </c>
      <c r="G195" s="37">
        <v>10</v>
      </c>
      <c r="H195" s="38">
        <f t="shared" si="24"/>
        <v>10.95</v>
      </c>
      <c r="I195" s="36">
        <v>4268.1321630000002</v>
      </c>
      <c r="J195" s="36">
        <v>11216.228619</v>
      </c>
      <c r="K195" s="36">
        <v>15886.089352999999</v>
      </c>
      <c r="L195" s="36">
        <v>330.60513800000001</v>
      </c>
      <c r="M195" s="36">
        <v>262.16087800000003</v>
      </c>
      <c r="N195" s="38">
        <f t="shared" si="25"/>
        <v>185.54325300000002</v>
      </c>
      <c r="O195" s="36">
        <v>76.617625000000004</v>
      </c>
      <c r="P195" s="39">
        <v>40</v>
      </c>
      <c r="Q195" s="39">
        <v>0</v>
      </c>
      <c r="R195" s="40">
        <f t="shared" si="28"/>
        <v>40</v>
      </c>
      <c r="S195" s="39"/>
      <c r="T195" s="41">
        <v>471</v>
      </c>
    </row>
    <row r="196" spans="2:20" ht="15.6" x14ac:dyDescent="0.3">
      <c r="B196" s="60">
        <f t="shared" si="27"/>
        <v>12</v>
      </c>
      <c r="C196" s="60" t="s">
        <v>301</v>
      </c>
      <c r="D196" s="34" t="s">
        <v>302</v>
      </c>
      <c r="E196" s="35">
        <v>45838</v>
      </c>
      <c r="F196" s="36">
        <v>280.29583000000002</v>
      </c>
      <c r="G196" s="37">
        <v>10</v>
      </c>
      <c r="H196" s="38">
        <f t="shared" si="24"/>
        <v>28.029583000000002</v>
      </c>
      <c r="I196" s="36">
        <v>23910.905999999999</v>
      </c>
      <c r="J196" s="36">
        <v>71118.486000000004</v>
      </c>
      <c r="K196" s="36">
        <v>70979.986000000004</v>
      </c>
      <c r="L196" s="36">
        <v>2523.7310000000002</v>
      </c>
      <c r="M196" s="36">
        <v>3404.8389999999999</v>
      </c>
      <c r="N196" s="38">
        <f t="shared" si="25"/>
        <v>1012.9349999999999</v>
      </c>
      <c r="O196" s="36">
        <v>2391.904</v>
      </c>
      <c r="P196" s="39">
        <v>0</v>
      </c>
      <c r="Q196" s="39">
        <v>0</v>
      </c>
      <c r="R196" s="40">
        <f t="shared" si="28"/>
        <v>0</v>
      </c>
      <c r="S196" s="39"/>
      <c r="T196" s="41">
        <v>2283</v>
      </c>
    </row>
    <row r="197" spans="2:20" ht="15.6" x14ac:dyDescent="0.3">
      <c r="B197" s="60">
        <f t="shared" si="27"/>
        <v>13</v>
      </c>
      <c r="C197" s="60" t="s">
        <v>303</v>
      </c>
      <c r="D197" s="34" t="s">
        <v>304</v>
      </c>
      <c r="E197" s="35">
        <v>45838</v>
      </c>
      <c r="F197" s="36">
        <v>198.52799999999999</v>
      </c>
      <c r="G197" s="37">
        <v>10</v>
      </c>
      <c r="H197" s="38">
        <f t="shared" si="24"/>
        <v>19.852799999999998</v>
      </c>
      <c r="I197" s="36">
        <v>2150.889557</v>
      </c>
      <c r="J197" s="36">
        <v>7634.5327969999998</v>
      </c>
      <c r="K197" s="36">
        <v>5201.6901379999999</v>
      </c>
      <c r="L197" s="36">
        <v>476.96393699999999</v>
      </c>
      <c r="M197" s="36">
        <v>-397.87851699999999</v>
      </c>
      <c r="N197" s="38">
        <f t="shared" si="25"/>
        <v>-3.113223000000005</v>
      </c>
      <c r="O197" s="36">
        <v>-394.76529399999998</v>
      </c>
      <c r="P197" s="39">
        <v>0</v>
      </c>
      <c r="Q197" s="39">
        <v>0</v>
      </c>
      <c r="R197" s="40">
        <f t="shared" si="28"/>
        <v>0</v>
      </c>
      <c r="S197" s="39"/>
      <c r="T197" s="41">
        <v>1544</v>
      </c>
    </row>
    <row r="198" spans="2:20" ht="15.6" x14ac:dyDescent="0.3">
      <c r="B198" s="60">
        <f t="shared" si="27"/>
        <v>14</v>
      </c>
      <c r="C198" s="60" t="s">
        <v>305</v>
      </c>
      <c r="D198" s="34" t="s">
        <v>306</v>
      </c>
      <c r="E198" s="35">
        <v>45838</v>
      </c>
      <c r="F198" s="36">
        <v>99.2</v>
      </c>
      <c r="G198" s="37">
        <v>10</v>
      </c>
      <c r="H198" s="38">
        <f t="shared" si="24"/>
        <v>9.92</v>
      </c>
      <c r="I198" s="36">
        <v>183.12</v>
      </c>
      <c r="J198" s="36">
        <v>2558.0700000000002</v>
      </c>
      <c r="K198" s="36">
        <v>3583.5279999999998</v>
      </c>
      <c r="L198" s="36">
        <v>128.11099999999999</v>
      </c>
      <c r="M198" s="36">
        <v>-319.50200000000001</v>
      </c>
      <c r="N198" s="38">
        <f t="shared" si="25"/>
        <v>104.05700000000002</v>
      </c>
      <c r="O198" s="36">
        <v>-423.55900000000003</v>
      </c>
      <c r="P198" s="39">
        <v>0</v>
      </c>
      <c r="Q198" s="39">
        <v>0</v>
      </c>
      <c r="R198" s="40">
        <f t="shared" si="28"/>
        <v>0</v>
      </c>
      <c r="S198" s="39"/>
      <c r="T198" s="41">
        <v>1342</v>
      </c>
    </row>
    <row r="199" spans="2:20" ht="15.6" x14ac:dyDescent="0.3">
      <c r="B199" s="60">
        <f t="shared" si="27"/>
        <v>15</v>
      </c>
      <c r="C199" s="60" t="s">
        <v>307</v>
      </c>
      <c r="D199" s="34" t="s">
        <v>308</v>
      </c>
      <c r="E199" s="35">
        <v>45838</v>
      </c>
      <c r="F199" s="36">
        <v>542.21193000000005</v>
      </c>
      <c r="G199" s="37">
        <v>10</v>
      </c>
      <c r="H199" s="38">
        <f t="shared" si="24"/>
        <v>54.221193000000007</v>
      </c>
      <c r="I199" s="36">
        <v>24314.535</v>
      </c>
      <c r="J199" s="36">
        <v>49159.864000000001</v>
      </c>
      <c r="K199" s="36">
        <v>66236.197</v>
      </c>
      <c r="L199" s="36">
        <v>1699.1669999999999</v>
      </c>
      <c r="M199" s="36">
        <v>-109.82</v>
      </c>
      <c r="N199" s="38">
        <f t="shared" si="25"/>
        <v>-585.15</v>
      </c>
      <c r="O199" s="36">
        <v>475.33</v>
      </c>
      <c r="P199" s="39">
        <v>0</v>
      </c>
      <c r="Q199" s="39">
        <v>0</v>
      </c>
      <c r="R199" s="40">
        <f t="shared" si="28"/>
        <v>0</v>
      </c>
      <c r="S199" s="39"/>
      <c r="T199" s="41">
        <v>2096</v>
      </c>
    </row>
    <row r="200" spans="2:20" ht="15.6" x14ac:dyDescent="0.3">
      <c r="B200" s="60">
        <f t="shared" si="27"/>
        <v>16</v>
      </c>
      <c r="C200" s="60" t="s">
        <v>309</v>
      </c>
      <c r="D200" s="34" t="s">
        <v>310</v>
      </c>
      <c r="E200" s="35">
        <v>45838</v>
      </c>
      <c r="F200" s="36">
        <v>69.15822</v>
      </c>
      <c r="G200" s="37">
        <v>10</v>
      </c>
      <c r="H200" s="38">
        <f t="shared" si="24"/>
        <v>6.9158220000000004</v>
      </c>
      <c r="I200" s="36">
        <v>5281.2190000000001</v>
      </c>
      <c r="J200" s="36">
        <v>7390.16</v>
      </c>
      <c r="K200" s="36">
        <v>1523.6610000000001</v>
      </c>
      <c r="L200" s="36">
        <v>261.96600000000001</v>
      </c>
      <c r="M200" s="36">
        <v>-785.61900000000003</v>
      </c>
      <c r="N200" s="38">
        <f t="shared" si="25"/>
        <v>-30.815000000000055</v>
      </c>
      <c r="O200" s="36">
        <v>-754.80399999999997</v>
      </c>
      <c r="P200" s="39">
        <v>0</v>
      </c>
      <c r="Q200" s="39">
        <v>0</v>
      </c>
      <c r="R200" s="40">
        <f t="shared" si="28"/>
        <v>0</v>
      </c>
      <c r="S200" s="39"/>
      <c r="T200" s="41">
        <v>2760</v>
      </c>
    </row>
    <row r="201" spans="2:20" ht="15.6" x14ac:dyDescent="0.3">
      <c r="B201" s="60">
        <f t="shared" si="27"/>
        <v>17</v>
      </c>
      <c r="C201" s="60" t="s">
        <v>311</v>
      </c>
      <c r="D201" s="34" t="s">
        <v>312</v>
      </c>
      <c r="E201" s="35">
        <v>45838</v>
      </c>
      <c r="F201" s="36">
        <v>1023.17502</v>
      </c>
      <c r="G201" s="37">
        <v>10</v>
      </c>
      <c r="H201" s="38">
        <f t="shared" si="24"/>
        <v>102.317502</v>
      </c>
      <c r="I201" s="36">
        <v>14043.215</v>
      </c>
      <c r="J201" s="36">
        <v>32008.776000000002</v>
      </c>
      <c r="K201" s="36">
        <v>42837.847000000002</v>
      </c>
      <c r="L201" s="36">
        <v>1799.9069999999999</v>
      </c>
      <c r="M201" s="36">
        <v>785.14</v>
      </c>
      <c r="N201" s="38">
        <f t="shared" si="25"/>
        <v>271.279</v>
      </c>
      <c r="O201" s="36">
        <v>513.86099999999999</v>
      </c>
      <c r="P201" s="39">
        <v>20</v>
      </c>
      <c r="Q201" s="39">
        <v>0</v>
      </c>
      <c r="R201" s="40">
        <f t="shared" si="28"/>
        <v>20</v>
      </c>
      <c r="S201" s="39"/>
      <c r="T201" s="41">
        <v>258</v>
      </c>
    </row>
    <row r="202" spans="2:20" ht="15.6" x14ac:dyDescent="0.3">
      <c r="B202" s="60">
        <f t="shared" si="27"/>
        <v>18</v>
      </c>
      <c r="C202" s="60" t="s">
        <v>313</v>
      </c>
      <c r="D202" s="46" t="s">
        <v>314</v>
      </c>
      <c r="E202" s="35">
        <v>45838</v>
      </c>
      <c r="F202" s="80">
        <v>208</v>
      </c>
      <c r="G202" s="81">
        <v>10</v>
      </c>
      <c r="H202" s="82">
        <f t="shared" si="24"/>
        <v>20.8</v>
      </c>
      <c r="I202" s="80">
        <v>4606.7079999999996</v>
      </c>
      <c r="J202" s="80">
        <v>10102.273999999999</v>
      </c>
      <c r="K202" s="80">
        <v>8253.3809999999994</v>
      </c>
      <c r="L202" s="80">
        <v>450.92700000000002</v>
      </c>
      <c r="M202" s="80">
        <v>372.78100000000001</v>
      </c>
      <c r="N202" s="82">
        <f t="shared" si="25"/>
        <v>92.014999999999986</v>
      </c>
      <c r="O202" s="80">
        <v>280.76600000000002</v>
      </c>
      <c r="P202" s="83">
        <f>10+10</f>
        <v>20</v>
      </c>
      <c r="Q202" s="83">
        <v>0</v>
      </c>
      <c r="R202" s="84">
        <f t="shared" si="28"/>
        <v>20</v>
      </c>
      <c r="S202" s="83"/>
      <c r="T202" s="85">
        <v>1042</v>
      </c>
    </row>
    <row r="203" spans="2:20" ht="15.6" x14ac:dyDescent="0.3">
      <c r="B203" s="60">
        <f t="shared" si="27"/>
        <v>19</v>
      </c>
      <c r="C203" s="60" t="s">
        <v>315</v>
      </c>
      <c r="D203" s="34" t="s">
        <v>316</v>
      </c>
      <c r="E203" s="35">
        <v>45838</v>
      </c>
      <c r="F203" s="36">
        <v>2178.5714250000001</v>
      </c>
      <c r="G203" s="37">
        <v>5</v>
      </c>
      <c r="H203" s="38">
        <f t="shared" si="24"/>
        <v>435.71428500000002</v>
      </c>
      <c r="I203" s="36">
        <v>205.530112</v>
      </c>
      <c r="J203" s="36">
        <v>3830.061428</v>
      </c>
      <c r="K203" s="36">
        <v>0</v>
      </c>
      <c r="L203" s="36">
        <v>5.8180999999999997E-2</v>
      </c>
      <c r="M203" s="36">
        <v>-477.61216200000001</v>
      </c>
      <c r="N203" s="38">
        <f t="shared" si="25"/>
        <v>16.598506999999984</v>
      </c>
      <c r="O203" s="36">
        <v>-494.210669</v>
      </c>
      <c r="P203" s="39">
        <v>0</v>
      </c>
      <c r="Q203" s="39">
        <v>0</v>
      </c>
      <c r="R203" s="40">
        <f t="shared" si="28"/>
        <v>0</v>
      </c>
      <c r="S203" s="39"/>
      <c r="T203" s="41">
        <v>8389</v>
      </c>
    </row>
    <row r="204" spans="2:20" ht="15.6" x14ac:dyDescent="0.3">
      <c r="B204" s="60">
        <f t="shared" si="27"/>
        <v>20</v>
      </c>
      <c r="C204" s="60" t="s">
        <v>317</v>
      </c>
      <c r="D204" s="34" t="s">
        <v>318</v>
      </c>
      <c r="E204" s="35">
        <v>45838</v>
      </c>
      <c r="F204" s="36">
        <v>184.32</v>
      </c>
      <c r="G204" s="37">
        <v>10</v>
      </c>
      <c r="H204" s="38">
        <f t="shared" si="24"/>
        <v>18.431999999999999</v>
      </c>
      <c r="I204" s="36">
        <v>1577.9825169999999</v>
      </c>
      <c r="J204" s="36">
        <v>9017.4978350000001</v>
      </c>
      <c r="K204" s="36">
        <v>8459.999871</v>
      </c>
      <c r="L204" s="36">
        <v>513.01424199999997</v>
      </c>
      <c r="M204" s="36">
        <v>-740.05959399999995</v>
      </c>
      <c r="N204" s="38">
        <f t="shared" si="25"/>
        <v>87.553460000000086</v>
      </c>
      <c r="O204" s="36">
        <v>-827.61305400000003</v>
      </c>
      <c r="P204" s="39">
        <v>0</v>
      </c>
      <c r="Q204" s="39">
        <v>0</v>
      </c>
      <c r="R204" s="40">
        <f t="shared" si="28"/>
        <v>0</v>
      </c>
      <c r="S204" s="39"/>
      <c r="T204" s="41">
        <v>584</v>
      </c>
    </row>
    <row r="205" spans="2:20" ht="15.6" x14ac:dyDescent="0.3">
      <c r="B205" s="60">
        <f t="shared" si="27"/>
        <v>21</v>
      </c>
      <c r="C205" s="60" t="s">
        <v>319</v>
      </c>
      <c r="D205" s="34" t="s">
        <v>320</v>
      </c>
      <c r="E205" s="35">
        <v>45838</v>
      </c>
      <c r="F205" s="36">
        <v>187</v>
      </c>
      <c r="G205" s="37">
        <v>10</v>
      </c>
      <c r="H205" s="38">
        <f t="shared" si="24"/>
        <v>18.7</v>
      </c>
      <c r="I205" s="36">
        <v>4759.5312199999998</v>
      </c>
      <c r="J205" s="36">
        <v>14597.792646</v>
      </c>
      <c r="K205" s="36">
        <v>19857.881185999999</v>
      </c>
      <c r="L205" s="36">
        <v>721.44644200000005</v>
      </c>
      <c r="M205" s="36">
        <v>231.667247</v>
      </c>
      <c r="N205" s="38">
        <f t="shared" si="25"/>
        <v>181.25055500000002</v>
      </c>
      <c r="O205" s="36">
        <v>50.416691999999998</v>
      </c>
      <c r="P205" s="39">
        <v>10</v>
      </c>
      <c r="Q205" s="39">
        <v>0</v>
      </c>
      <c r="R205" s="40">
        <f t="shared" si="28"/>
        <v>10</v>
      </c>
      <c r="S205" s="39"/>
      <c r="T205" s="41">
        <v>933</v>
      </c>
    </row>
    <row r="206" spans="2:20" ht="15.6" x14ac:dyDescent="0.3">
      <c r="B206" s="60">
        <f t="shared" si="27"/>
        <v>22</v>
      </c>
      <c r="C206" s="60" t="s">
        <v>321</v>
      </c>
      <c r="D206" s="34" t="s">
        <v>322</v>
      </c>
      <c r="E206" s="35">
        <v>45838</v>
      </c>
      <c r="F206" s="36">
        <v>212.66735</v>
      </c>
      <c r="G206" s="37">
        <v>10</v>
      </c>
      <c r="H206" s="38">
        <f t="shared" si="24"/>
        <v>21.266735000000001</v>
      </c>
      <c r="I206" s="36">
        <v>2752.4422749999999</v>
      </c>
      <c r="J206" s="36">
        <v>6597.4494539999996</v>
      </c>
      <c r="K206" s="36">
        <v>4893.1783409999998</v>
      </c>
      <c r="L206" s="36">
        <v>506.878895</v>
      </c>
      <c r="M206" s="36">
        <v>-1338.5156260000001</v>
      </c>
      <c r="N206" s="38">
        <f t="shared" si="25"/>
        <v>-147.57343100000003</v>
      </c>
      <c r="O206" s="36">
        <v>-1190.9421950000001</v>
      </c>
      <c r="P206" s="39">
        <v>0</v>
      </c>
      <c r="Q206" s="39">
        <v>0</v>
      </c>
      <c r="R206" s="40">
        <f t="shared" si="28"/>
        <v>0</v>
      </c>
      <c r="S206" s="39"/>
      <c r="T206" s="41">
        <v>46</v>
      </c>
    </row>
    <row r="207" spans="2:20" ht="15.6" x14ac:dyDescent="0.3">
      <c r="B207" s="60">
        <f t="shared" si="27"/>
        <v>23</v>
      </c>
      <c r="C207" s="60" t="s">
        <v>323</v>
      </c>
      <c r="D207" s="46" t="s">
        <v>324</v>
      </c>
      <c r="E207" s="35">
        <v>45838</v>
      </c>
      <c r="F207" s="36">
        <v>120</v>
      </c>
      <c r="G207" s="37">
        <v>10</v>
      </c>
      <c r="H207" s="38">
        <f t="shared" si="24"/>
        <v>12</v>
      </c>
      <c r="I207" s="36">
        <v>269.26724300000001</v>
      </c>
      <c r="J207" s="36">
        <v>703.08053900000004</v>
      </c>
      <c r="K207" s="36">
        <v>132.85049699999999</v>
      </c>
      <c r="L207" s="36">
        <v>3.0796640000000002</v>
      </c>
      <c r="M207" s="36">
        <v>160.53012000000001</v>
      </c>
      <c r="N207" s="38">
        <f t="shared" si="25"/>
        <v>14.62870700000002</v>
      </c>
      <c r="O207" s="36">
        <v>145.90141299999999</v>
      </c>
      <c r="P207" s="39">
        <v>0</v>
      </c>
      <c r="Q207" s="39">
        <v>0</v>
      </c>
      <c r="R207" s="40">
        <f t="shared" si="28"/>
        <v>0</v>
      </c>
      <c r="S207" s="39"/>
      <c r="T207" s="41">
        <v>400</v>
      </c>
    </row>
    <row r="208" spans="2:20" ht="15.6" x14ac:dyDescent="0.3">
      <c r="B208" s="60">
        <f t="shared" si="27"/>
        <v>24</v>
      </c>
      <c r="C208" s="60" t="s">
        <v>325</v>
      </c>
      <c r="D208" s="34" t="s">
        <v>326</v>
      </c>
      <c r="E208" s="35">
        <v>45838</v>
      </c>
      <c r="F208" s="36">
        <v>61.63</v>
      </c>
      <c r="G208" s="37">
        <v>10</v>
      </c>
      <c r="H208" s="38">
        <f t="shared" si="24"/>
        <v>6.1630000000000003</v>
      </c>
      <c r="I208" s="36">
        <v>8748.3438370000003</v>
      </c>
      <c r="J208" s="36">
        <v>29464.123093999999</v>
      </c>
      <c r="K208" s="36">
        <v>29012.414810999999</v>
      </c>
      <c r="L208" s="36">
        <v>2436.8261929999999</v>
      </c>
      <c r="M208" s="36">
        <v>277.39619399999998</v>
      </c>
      <c r="N208" s="38">
        <f t="shared" si="25"/>
        <v>86.480944999999991</v>
      </c>
      <c r="O208" s="36">
        <v>190.91524899999999</v>
      </c>
      <c r="P208" s="39">
        <v>20</v>
      </c>
      <c r="Q208" s="39">
        <v>0</v>
      </c>
      <c r="R208" s="40">
        <f t="shared" si="28"/>
        <v>20</v>
      </c>
      <c r="S208" s="39"/>
      <c r="T208" s="41">
        <v>750</v>
      </c>
    </row>
    <row r="209" spans="2:20" ht="15.6" x14ac:dyDescent="0.3">
      <c r="B209" s="60">
        <f t="shared" si="27"/>
        <v>25</v>
      </c>
      <c r="C209" s="60" t="s">
        <v>327</v>
      </c>
      <c r="D209" s="34" t="s">
        <v>328</v>
      </c>
      <c r="E209" s="35">
        <v>45838</v>
      </c>
      <c r="F209" s="36">
        <v>106.52</v>
      </c>
      <c r="G209" s="37">
        <v>10</v>
      </c>
      <c r="H209" s="38">
        <f t="shared" si="24"/>
        <v>10.651999999999999</v>
      </c>
      <c r="I209" s="36">
        <v>9379.1462780000002</v>
      </c>
      <c r="J209" s="36">
        <v>18997.742532</v>
      </c>
      <c r="K209" s="36">
        <v>15816.269646000001</v>
      </c>
      <c r="L209" s="36">
        <v>642.46087199999999</v>
      </c>
      <c r="M209" s="36">
        <v>897.77173400000004</v>
      </c>
      <c r="N209" s="38">
        <f t="shared" si="25"/>
        <v>190.15929100000005</v>
      </c>
      <c r="O209" s="36">
        <v>707.61244299999998</v>
      </c>
      <c r="P209" s="39">
        <v>60</v>
      </c>
      <c r="Q209" s="39">
        <v>0</v>
      </c>
      <c r="R209" s="40">
        <f t="shared" si="28"/>
        <v>60</v>
      </c>
      <c r="S209" s="39"/>
      <c r="T209" s="41">
        <v>649</v>
      </c>
    </row>
    <row r="210" spans="2:20" ht="15.6" x14ac:dyDescent="0.3">
      <c r="B210" s="60">
        <f t="shared" si="27"/>
        <v>26</v>
      </c>
      <c r="C210" s="60" t="s">
        <v>329</v>
      </c>
      <c r="D210" s="34" t="s">
        <v>330</v>
      </c>
      <c r="E210" s="35">
        <v>45838</v>
      </c>
      <c r="F210" s="36">
        <v>264.12900000000002</v>
      </c>
      <c r="G210" s="37">
        <v>10</v>
      </c>
      <c r="H210" s="38">
        <f t="shared" si="24"/>
        <v>26.4129</v>
      </c>
      <c r="I210" s="36">
        <v>3747.21</v>
      </c>
      <c r="J210" s="36">
        <v>14321.174999999999</v>
      </c>
      <c r="K210" s="36">
        <v>11593.946</v>
      </c>
      <c r="L210" s="36">
        <v>1251.6310000000001</v>
      </c>
      <c r="M210" s="36">
        <v>-564.42999999999995</v>
      </c>
      <c r="N210" s="38">
        <f t="shared" si="25"/>
        <v>-176.10899999999992</v>
      </c>
      <c r="O210" s="36">
        <v>-388.32100000000003</v>
      </c>
      <c r="P210" s="39">
        <v>0</v>
      </c>
      <c r="Q210" s="39">
        <v>0</v>
      </c>
      <c r="R210" s="40">
        <f t="shared" si="28"/>
        <v>0</v>
      </c>
      <c r="S210" s="39"/>
      <c r="T210" s="41">
        <v>1388</v>
      </c>
    </row>
    <row r="211" spans="2:20" ht="15.6" x14ac:dyDescent="0.3">
      <c r="B211" s="60">
        <f t="shared" si="27"/>
        <v>27</v>
      </c>
      <c r="C211" s="60" t="s">
        <v>331</v>
      </c>
      <c r="D211" s="34" t="s">
        <v>332</v>
      </c>
      <c r="E211" s="35">
        <v>45838</v>
      </c>
      <c r="F211" s="36">
        <v>137.87567000000001</v>
      </c>
      <c r="G211" s="37">
        <v>10</v>
      </c>
      <c r="H211" s="38">
        <f t="shared" si="24"/>
        <v>13.787567000000001</v>
      </c>
      <c r="I211" s="36">
        <v>1015.104789</v>
      </c>
      <c r="J211" s="36">
        <v>1684.2718130000001</v>
      </c>
      <c r="K211" s="36">
        <v>1370.5146830000001</v>
      </c>
      <c r="L211" s="36">
        <v>10.583512000000001</v>
      </c>
      <c r="M211" s="36">
        <v>-78.302914999999999</v>
      </c>
      <c r="N211" s="38">
        <f t="shared" si="25"/>
        <v>-5.4028419999999926</v>
      </c>
      <c r="O211" s="36">
        <v>-72.900073000000006</v>
      </c>
      <c r="P211" s="39">
        <v>0</v>
      </c>
      <c r="Q211" s="39">
        <v>0</v>
      </c>
      <c r="R211" s="40">
        <f t="shared" si="28"/>
        <v>0</v>
      </c>
      <c r="S211" s="39"/>
      <c r="T211" s="41">
        <v>1366</v>
      </c>
    </row>
    <row r="212" spans="2:20" ht="15.6" x14ac:dyDescent="0.3">
      <c r="B212" s="60">
        <f t="shared" si="27"/>
        <v>28</v>
      </c>
      <c r="C212" s="60" t="s">
        <v>333</v>
      </c>
      <c r="D212" s="34" t="s">
        <v>334</v>
      </c>
      <c r="E212" s="35">
        <v>45838</v>
      </c>
      <c r="F212" s="36">
        <v>176.36718999999999</v>
      </c>
      <c r="G212" s="37">
        <v>10</v>
      </c>
      <c r="H212" s="38">
        <f t="shared" si="24"/>
        <v>17.636718999999999</v>
      </c>
      <c r="I212" s="36">
        <v>802.13153</v>
      </c>
      <c r="J212" s="36">
        <v>1442.793891</v>
      </c>
      <c r="K212" s="36">
        <v>509.963504</v>
      </c>
      <c r="L212" s="36">
        <v>4.9995240000000001</v>
      </c>
      <c r="M212" s="36">
        <v>-35.313822000000002</v>
      </c>
      <c r="N212" s="38">
        <f t="shared" si="25"/>
        <v>-18.741441000000002</v>
      </c>
      <c r="O212" s="36">
        <v>-16.572381</v>
      </c>
      <c r="P212" s="39">
        <v>0</v>
      </c>
      <c r="Q212" s="39">
        <v>0</v>
      </c>
      <c r="R212" s="40">
        <f t="shared" si="28"/>
        <v>0</v>
      </c>
      <c r="S212" s="39"/>
      <c r="T212" s="41">
        <v>1134</v>
      </c>
    </row>
    <row r="213" spans="2:20" ht="15.6" x14ac:dyDescent="0.3">
      <c r="B213" s="60">
        <f t="shared" si="27"/>
        <v>29</v>
      </c>
      <c r="C213" s="60" t="s">
        <v>335</v>
      </c>
      <c r="D213" s="34" t="s">
        <v>336</v>
      </c>
      <c r="E213" s="35">
        <v>45838</v>
      </c>
      <c r="F213" s="36">
        <v>166</v>
      </c>
      <c r="G213" s="37">
        <v>10</v>
      </c>
      <c r="H213" s="38">
        <f t="shared" si="24"/>
        <v>16.600000000000001</v>
      </c>
      <c r="I213" s="36">
        <v>1757.0719999999999</v>
      </c>
      <c r="J213" s="36">
        <v>3215.029</v>
      </c>
      <c r="K213" s="36">
        <v>8002.5649999999996</v>
      </c>
      <c r="L213" s="36">
        <v>94.218999999999994</v>
      </c>
      <c r="M213" s="36">
        <v>244.149</v>
      </c>
      <c r="N213" s="38">
        <f t="shared" si="25"/>
        <v>59.123999999999995</v>
      </c>
      <c r="O213" s="36">
        <v>185.02500000000001</v>
      </c>
      <c r="P213" s="39">
        <v>12.5</v>
      </c>
      <c r="Q213" s="39">
        <v>0</v>
      </c>
      <c r="R213" s="40">
        <f t="shared" si="28"/>
        <v>12.5</v>
      </c>
      <c r="S213" s="39"/>
      <c r="T213" s="41">
        <v>518</v>
      </c>
    </row>
    <row r="214" spans="2:20" ht="15.6" x14ac:dyDescent="0.3">
      <c r="B214" s="60">
        <f t="shared" si="27"/>
        <v>30</v>
      </c>
      <c r="C214" s="60" t="s">
        <v>337</v>
      </c>
      <c r="D214" s="34" t="s">
        <v>338</v>
      </c>
      <c r="E214" s="35">
        <v>45838</v>
      </c>
      <c r="F214" s="36">
        <v>199.65</v>
      </c>
      <c r="G214" s="37">
        <v>10</v>
      </c>
      <c r="H214" s="38">
        <f t="shared" si="24"/>
        <v>19.965</v>
      </c>
      <c r="I214" s="36">
        <v>826.05539899999997</v>
      </c>
      <c r="J214" s="36">
        <v>2722.233698</v>
      </c>
      <c r="K214" s="36">
        <v>2416.2934780000001</v>
      </c>
      <c r="L214" s="36">
        <v>192.97684599999999</v>
      </c>
      <c r="M214" s="36">
        <v>200.75724299999999</v>
      </c>
      <c r="N214" s="38">
        <f t="shared" si="25"/>
        <v>89.323877999999993</v>
      </c>
      <c r="O214" s="36">
        <v>111.43336499999999</v>
      </c>
      <c r="P214" s="39">
        <v>0</v>
      </c>
      <c r="Q214" s="39">
        <v>0</v>
      </c>
      <c r="R214" s="40">
        <f t="shared" si="28"/>
        <v>0</v>
      </c>
      <c r="S214" s="39"/>
      <c r="T214" s="41">
        <v>619</v>
      </c>
    </row>
    <row r="215" spans="2:20" ht="15.6" x14ac:dyDescent="0.3">
      <c r="B215" s="60">
        <f t="shared" si="27"/>
        <v>31</v>
      </c>
      <c r="C215" s="60" t="s">
        <v>339</v>
      </c>
      <c r="D215" s="34" t="s">
        <v>340</v>
      </c>
      <c r="E215" s="35">
        <v>45838</v>
      </c>
      <c r="F215" s="36">
        <v>207</v>
      </c>
      <c r="G215" s="37">
        <v>10</v>
      </c>
      <c r="H215" s="38">
        <f t="shared" si="24"/>
        <v>20.7</v>
      </c>
      <c r="I215" s="36">
        <v>9151.5377200000003</v>
      </c>
      <c r="J215" s="36">
        <v>20109.075279000001</v>
      </c>
      <c r="K215" s="36">
        <v>19257.155909000001</v>
      </c>
      <c r="L215" s="36">
        <v>1060.7688840000001</v>
      </c>
      <c r="M215" s="36">
        <v>158.89126200000001</v>
      </c>
      <c r="N215" s="38">
        <f t="shared" si="25"/>
        <v>82.268065000000007</v>
      </c>
      <c r="O215" s="36">
        <v>76.623197000000005</v>
      </c>
      <c r="P215" s="39">
        <v>0</v>
      </c>
      <c r="Q215" s="39">
        <v>0</v>
      </c>
      <c r="R215" s="40">
        <f t="shared" si="28"/>
        <v>0</v>
      </c>
      <c r="S215" s="39"/>
      <c r="T215" s="41"/>
    </row>
    <row r="216" spans="2:20" ht="15.6" x14ac:dyDescent="0.3">
      <c r="B216" s="60">
        <f t="shared" si="27"/>
        <v>32</v>
      </c>
      <c r="C216" s="60" t="s">
        <v>341</v>
      </c>
      <c r="D216" s="34" t="s">
        <v>342</v>
      </c>
      <c r="E216" s="35">
        <v>45838</v>
      </c>
      <c r="F216" s="36">
        <v>179.71372</v>
      </c>
      <c r="G216" s="37">
        <v>10</v>
      </c>
      <c r="H216" s="38">
        <f t="shared" si="24"/>
        <v>17.971371999999999</v>
      </c>
      <c r="I216" s="36">
        <v>3532.5558729999998</v>
      </c>
      <c r="J216" s="36">
        <v>6327.6849499999998</v>
      </c>
      <c r="K216" s="36">
        <v>11371.01635</v>
      </c>
      <c r="L216" s="36">
        <v>117.875372</v>
      </c>
      <c r="M216" s="36">
        <v>279.92712599999999</v>
      </c>
      <c r="N216" s="38">
        <f t="shared" si="25"/>
        <v>121.901782</v>
      </c>
      <c r="O216" s="36">
        <v>158.02534399999999</v>
      </c>
      <c r="P216" s="39">
        <v>0</v>
      </c>
      <c r="Q216" s="39">
        <v>0</v>
      </c>
      <c r="R216" s="40">
        <f t="shared" si="28"/>
        <v>0</v>
      </c>
      <c r="S216" s="39"/>
      <c r="T216" s="41">
        <v>794</v>
      </c>
    </row>
    <row r="217" spans="2:20" ht="15.6" x14ac:dyDescent="0.3">
      <c r="B217" s="60">
        <f t="shared" si="27"/>
        <v>33</v>
      </c>
      <c r="C217" s="60" t="s">
        <v>343</v>
      </c>
      <c r="D217" s="34" t="s">
        <v>344</v>
      </c>
      <c r="E217" s="35">
        <v>45838</v>
      </c>
      <c r="F217" s="36">
        <v>559.93614000000002</v>
      </c>
      <c r="G217" s="37">
        <v>10</v>
      </c>
      <c r="H217" s="38">
        <f t="shared" si="24"/>
        <v>55.993614000000001</v>
      </c>
      <c r="I217" s="36">
        <v>23692.261999999999</v>
      </c>
      <c r="J217" s="36">
        <v>57899.286999999997</v>
      </c>
      <c r="K217" s="36">
        <v>41239.93</v>
      </c>
      <c r="L217" s="36">
        <v>3609.8919999999998</v>
      </c>
      <c r="M217" s="36">
        <v>1334.2550000000001</v>
      </c>
      <c r="N217" s="38">
        <f t="shared" si="25"/>
        <v>221.10400000000004</v>
      </c>
      <c r="O217" s="36">
        <v>1113.1510000000001</v>
      </c>
      <c r="P217" s="39">
        <v>0</v>
      </c>
      <c r="Q217" s="39">
        <v>0</v>
      </c>
      <c r="R217" s="40">
        <f t="shared" si="28"/>
        <v>0</v>
      </c>
      <c r="S217" s="39"/>
      <c r="T217" s="41">
        <v>3736</v>
      </c>
    </row>
    <row r="218" spans="2:20" ht="15.6" x14ac:dyDescent="0.3">
      <c r="B218" s="62"/>
      <c r="C218" s="62"/>
      <c r="D218" s="64"/>
      <c r="E218" s="65"/>
      <c r="F218" s="66"/>
      <c r="G218" s="43"/>
      <c r="H218" s="67"/>
      <c r="I218" s="66"/>
      <c r="J218" s="66"/>
      <c r="K218" s="66"/>
      <c r="L218" s="66"/>
      <c r="M218" s="66"/>
      <c r="N218" s="67"/>
      <c r="O218" s="66"/>
      <c r="P218" s="68"/>
      <c r="Q218" s="68"/>
      <c r="R218" s="69"/>
      <c r="S218" s="68"/>
      <c r="T218" s="70"/>
    </row>
    <row r="219" spans="2:20" ht="18" x14ac:dyDescent="0.35">
      <c r="B219" s="28"/>
      <c r="C219" s="28"/>
      <c r="D219" s="56" t="s">
        <v>30</v>
      </c>
      <c r="E219" s="28"/>
      <c r="F219" s="28"/>
      <c r="G219" s="43"/>
      <c r="H219" s="44"/>
      <c r="I219" s="30"/>
      <c r="J219" s="30"/>
      <c r="K219" s="30"/>
      <c r="L219" s="30"/>
      <c r="M219" s="30"/>
      <c r="N219" s="45"/>
      <c r="O219" s="30"/>
      <c r="P219" s="30"/>
      <c r="Q219" s="30"/>
      <c r="R219" s="45"/>
      <c r="S219" s="30"/>
      <c r="T219" s="30"/>
    </row>
    <row r="220" spans="2:20" ht="15.6" x14ac:dyDescent="0.3">
      <c r="B220" s="60">
        <v>1</v>
      </c>
      <c r="C220" s="60" t="s">
        <v>345</v>
      </c>
      <c r="D220" s="34" t="s">
        <v>346</v>
      </c>
      <c r="E220" s="35">
        <v>45838</v>
      </c>
      <c r="F220" s="36"/>
      <c r="G220" s="37">
        <v>10</v>
      </c>
      <c r="H220" s="38">
        <f t="shared" ref="H220:H246" si="29">+F220/G220</f>
        <v>0</v>
      </c>
      <c r="I220" s="36"/>
      <c r="J220" s="36"/>
      <c r="K220" s="36"/>
      <c r="L220" s="36"/>
      <c r="M220" s="36"/>
      <c r="N220" s="38">
        <f t="shared" ref="N220:N246" si="30">+M220-O220</f>
        <v>0</v>
      </c>
      <c r="O220" s="36"/>
      <c r="P220" s="39"/>
      <c r="Q220" s="39"/>
      <c r="R220" s="40">
        <f t="shared" ref="R220:R246" si="31">SUM(P220:Q220)</f>
        <v>0</v>
      </c>
      <c r="S220" s="39"/>
      <c r="T220" s="41"/>
    </row>
    <row r="221" spans="2:20" ht="15.6" x14ac:dyDescent="0.3">
      <c r="B221" s="60">
        <f>+B220+1</f>
        <v>2</v>
      </c>
      <c r="C221" s="60" t="s">
        <v>347</v>
      </c>
      <c r="D221" s="34" t="s">
        <v>348</v>
      </c>
      <c r="E221" s="35">
        <v>45838</v>
      </c>
      <c r="F221" s="36">
        <v>2594.30134</v>
      </c>
      <c r="G221" s="37">
        <v>10</v>
      </c>
      <c r="H221" s="38">
        <f t="shared" si="29"/>
        <v>259.43013400000001</v>
      </c>
      <c r="I221" s="36">
        <v>-8584.8165310000004</v>
      </c>
      <c r="J221" s="36">
        <v>3540.08419</v>
      </c>
      <c r="K221" s="36">
        <v>2370.7909730000001</v>
      </c>
      <c r="L221" s="36">
        <v>157.29245900000001</v>
      </c>
      <c r="M221" s="36">
        <v>-124.261078</v>
      </c>
      <c r="N221" s="38">
        <f t="shared" si="30"/>
        <v>5.8890580000000057</v>
      </c>
      <c r="O221" s="36">
        <v>-130.150136</v>
      </c>
      <c r="P221" s="39">
        <v>0</v>
      </c>
      <c r="Q221" s="39">
        <v>0</v>
      </c>
      <c r="R221" s="40">
        <f t="shared" si="31"/>
        <v>0</v>
      </c>
      <c r="S221" s="39"/>
      <c r="T221" s="41">
        <v>2397</v>
      </c>
    </row>
    <row r="222" spans="2:20" ht="15.6" x14ac:dyDescent="0.3">
      <c r="B222" s="60">
        <f t="shared" ref="B222:B246" si="32">+B221+1</f>
        <v>3</v>
      </c>
      <c r="C222" s="60" t="s">
        <v>349</v>
      </c>
      <c r="D222" s="34" t="s">
        <v>350</v>
      </c>
      <c r="E222" s="35">
        <v>45838</v>
      </c>
      <c r="F222" s="36"/>
      <c r="G222" s="37">
        <v>5</v>
      </c>
      <c r="H222" s="38">
        <f t="shared" si="29"/>
        <v>0</v>
      </c>
      <c r="I222" s="36"/>
      <c r="J222" s="36"/>
      <c r="K222" s="36"/>
      <c r="L222" s="36"/>
      <c r="M222" s="36"/>
      <c r="N222" s="38">
        <f t="shared" si="30"/>
        <v>0</v>
      </c>
      <c r="O222" s="36"/>
      <c r="P222" s="39"/>
      <c r="Q222" s="39"/>
      <c r="R222" s="40">
        <f t="shared" si="31"/>
        <v>0</v>
      </c>
      <c r="S222" s="39"/>
      <c r="T222" s="41"/>
    </row>
    <row r="223" spans="2:20" ht="15.6" x14ac:dyDescent="0.3">
      <c r="B223" s="60">
        <f t="shared" si="32"/>
        <v>4</v>
      </c>
      <c r="C223" s="60" t="s">
        <v>351</v>
      </c>
      <c r="D223" s="34" t="s">
        <v>352</v>
      </c>
      <c r="E223" s="35">
        <v>45838</v>
      </c>
      <c r="F223" s="36"/>
      <c r="G223" s="37">
        <v>10</v>
      </c>
      <c r="H223" s="38">
        <f t="shared" si="29"/>
        <v>0</v>
      </c>
      <c r="I223" s="36"/>
      <c r="J223" s="36"/>
      <c r="K223" s="36"/>
      <c r="L223" s="36"/>
      <c r="M223" s="36"/>
      <c r="N223" s="38">
        <f t="shared" si="30"/>
        <v>0</v>
      </c>
      <c r="O223" s="36"/>
      <c r="P223" s="39"/>
      <c r="Q223" s="39"/>
      <c r="R223" s="40">
        <f t="shared" si="31"/>
        <v>0</v>
      </c>
      <c r="S223" s="39"/>
      <c r="T223" s="41"/>
    </row>
    <row r="224" spans="2:20" ht="15.6" x14ac:dyDescent="0.3">
      <c r="B224" s="60">
        <f t="shared" si="32"/>
        <v>5</v>
      </c>
      <c r="C224" s="60" t="s">
        <v>353</v>
      </c>
      <c r="D224" s="34" t="s">
        <v>354</v>
      </c>
      <c r="E224" s="35">
        <v>45838</v>
      </c>
      <c r="F224" s="36">
        <v>151.77000000000001</v>
      </c>
      <c r="G224" s="37">
        <v>10</v>
      </c>
      <c r="H224" s="38">
        <f t="shared" si="29"/>
        <v>15.177000000000001</v>
      </c>
      <c r="I224" s="36">
        <v>444.38881600000002</v>
      </c>
      <c r="J224" s="36">
        <v>1263.706756</v>
      </c>
      <c r="K224" s="36">
        <v>2181.698425</v>
      </c>
      <c r="L224" s="36">
        <v>0.31670999999999999</v>
      </c>
      <c r="M224" s="36">
        <v>41.784792000000003</v>
      </c>
      <c r="N224" s="38">
        <f t="shared" si="30"/>
        <v>21.909642000000002</v>
      </c>
      <c r="O224" s="36">
        <v>19.875150000000001</v>
      </c>
      <c r="P224" s="39">
        <v>0</v>
      </c>
      <c r="Q224" s="39">
        <v>0</v>
      </c>
      <c r="R224" s="40">
        <f t="shared" si="31"/>
        <v>0</v>
      </c>
      <c r="S224" s="39"/>
      <c r="T224" s="41">
        <v>2004</v>
      </c>
    </row>
    <row r="225" spans="2:20" ht="15.6" x14ac:dyDescent="0.3">
      <c r="B225" s="60">
        <f t="shared" si="32"/>
        <v>6</v>
      </c>
      <c r="C225" s="60" t="s">
        <v>355</v>
      </c>
      <c r="D225" s="34" t="s">
        <v>356</v>
      </c>
      <c r="E225" s="35">
        <v>45930</v>
      </c>
      <c r="F225" s="36"/>
      <c r="G225" s="37">
        <v>10</v>
      </c>
      <c r="H225" s="38">
        <f t="shared" si="29"/>
        <v>0</v>
      </c>
      <c r="I225" s="36"/>
      <c r="J225" s="36"/>
      <c r="K225" s="36"/>
      <c r="L225" s="36"/>
      <c r="M225" s="36"/>
      <c r="N225" s="38">
        <f t="shared" si="30"/>
        <v>0</v>
      </c>
      <c r="O225" s="36"/>
      <c r="P225" s="39"/>
      <c r="Q225" s="39"/>
      <c r="R225" s="40">
        <f t="shared" si="31"/>
        <v>0</v>
      </c>
      <c r="S225" s="39"/>
      <c r="T225" s="41"/>
    </row>
    <row r="226" spans="2:20" ht="15.6" x14ac:dyDescent="0.3">
      <c r="B226" s="60">
        <f t="shared" si="32"/>
        <v>7</v>
      </c>
      <c r="C226" s="60" t="s">
        <v>357</v>
      </c>
      <c r="D226" s="34" t="s">
        <v>358</v>
      </c>
      <c r="E226" s="35">
        <v>45838</v>
      </c>
      <c r="F226" s="36">
        <v>977.50725999999997</v>
      </c>
      <c r="G226" s="37">
        <v>10</v>
      </c>
      <c r="H226" s="38">
        <f t="shared" si="29"/>
        <v>97.750726</v>
      </c>
      <c r="I226" s="36">
        <v>9731.1059010000008</v>
      </c>
      <c r="J226" s="36">
        <v>12153.670593000001</v>
      </c>
      <c r="K226" s="36">
        <v>219.248591</v>
      </c>
      <c r="L226" s="36">
        <v>0.13437199999999999</v>
      </c>
      <c r="M226" s="36">
        <v>-238.661182</v>
      </c>
      <c r="N226" s="38">
        <f t="shared" si="30"/>
        <v>-25.359605999999985</v>
      </c>
      <c r="O226" s="36">
        <v>-213.30157600000001</v>
      </c>
      <c r="P226" s="39">
        <v>0</v>
      </c>
      <c r="Q226" s="39">
        <v>0</v>
      </c>
      <c r="R226" s="40">
        <f t="shared" si="31"/>
        <v>0</v>
      </c>
      <c r="S226" s="39"/>
      <c r="T226" s="41">
        <v>2177</v>
      </c>
    </row>
    <row r="227" spans="2:20" ht="15.6" x14ac:dyDescent="0.3">
      <c r="B227" s="60">
        <f t="shared" si="32"/>
        <v>8</v>
      </c>
      <c r="C227" s="60" t="s">
        <v>359</v>
      </c>
      <c r="D227" s="34" t="s">
        <v>360</v>
      </c>
      <c r="E227" s="35">
        <v>45838</v>
      </c>
      <c r="F227" s="36"/>
      <c r="G227" s="37">
        <v>10</v>
      </c>
      <c r="H227" s="38">
        <f t="shared" si="29"/>
        <v>0</v>
      </c>
      <c r="I227" s="36"/>
      <c r="J227" s="36"/>
      <c r="K227" s="36"/>
      <c r="L227" s="36"/>
      <c r="M227" s="36"/>
      <c r="N227" s="38">
        <f t="shared" si="30"/>
        <v>0</v>
      </c>
      <c r="O227" s="36"/>
      <c r="P227" s="39"/>
      <c r="Q227" s="39"/>
      <c r="R227" s="40">
        <f t="shared" si="31"/>
        <v>0</v>
      </c>
      <c r="S227" s="39"/>
      <c r="T227" s="41"/>
    </row>
    <row r="228" spans="2:20" ht="15.6" x14ac:dyDescent="0.3">
      <c r="B228" s="60">
        <f t="shared" si="32"/>
        <v>9</v>
      </c>
      <c r="C228" s="60" t="s">
        <v>361</v>
      </c>
      <c r="D228" s="34" t="s">
        <v>362</v>
      </c>
      <c r="E228" s="35">
        <v>45838</v>
      </c>
      <c r="F228" s="36"/>
      <c r="G228" s="37">
        <v>10</v>
      </c>
      <c r="H228" s="38">
        <f t="shared" si="29"/>
        <v>0</v>
      </c>
      <c r="I228" s="36"/>
      <c r="J228" s="36"/>
      <c r="K228" s="36"/>
      <c r="L228" s="36"/>
      <c r="M228" s="36"/>
      <c r="N228" s="38">
        <f t="shared" si="30"/>
        <v>0</v>
      </c>
      <c r="O228" s="36"/>
      <c r="P228" s="39"/>
      <c r="Q228" s="39"/>
      <c r="R228" s="40">
        <f t="shared" si="31"/>
        <v>0</v>
      </c>
      <c r="S228" s="39"/>
      <c r="T228" s="41"/>
    </row>
    <row r="229" spans="2:20" ht="15.6" x14ac:dyDescent="0.3">
      <c r="B229" s="60">
        <f t="shared" si="32"/>
        <v>10</v>
      </c>
      <c r="C229" s="60" t="s">
        <v>363</v>
      </c>
      <c r="D229" s="34" t="s">
        <v>364</v>
      </c>
      <c r="E229" s="35">
        <v>45838</v>
      </c>
      <c r="F229" s="36">
        <v>460.64609000000002</v>
      </c>
      <c r="G229" s="37">
        <v>10</v>
      </c>
      <c r="H229" s="38">
        <f t="shared" si="29"/>
        <v>46.064609000000004</v>
      </c>
      <c r="I229" s="36">
        <v>-2865.651382</v>
      </c>
      <c r="J229" s="36">
        <v>3221.1156930000002</v>
      </c>
      <c r="K229" s="36">
        <v>0</v>
      </c>
      <c r="L229" s="36">
        <v>31.294308000000001</v>
      </c>
      <c r="M229" s="36">
        <v>-149.330117</v>
      </c>
      <c r="N229" s="38">
        <f t="shared" si="30"/>
        <v>-22.969869000000003</v>
      </c>
      <c r="O229" s="36">
        <v>-126.360248</v>
      </c>
      <c r="P229" s="39">
        <v>0</v>
      </c>
      <c r="Q229" s="39">
        <v>0</v>
      </c>
      <c r="R229" s="40">
        <f t="shared" si="31"/>
        <v>0</v>
      </c>
      <c r="S229" s="39"/>
      <c r="T229" s="41">
        <v>342</v>
      </c>
    </row>
    <row r="230" spans="2:20" ht="15.6" x14ac:dyDescent="0.3">
      <c r="B230" s="60">
        <f t="shared" si="32"/>
        <v>11</v>
      </c>
      <c r="C230" s="60" t="s">
        <v>365</v>
      </c>
      <c r="D230" s="34" t="s">
        <v>366</v>
      </c>
      <c r="E230" s="35">
        <v>45838</v>
      </c>
      <c r="F230" s="36"/>
      <c r="G230" s="37">
        <v>10</v>
      </c>
      <c r="H230" s="38">
        <f t="shared" si="29"/>
        <v>0</v>
      </c>
      <c r="I230" s="36"/>
      <c r="J230" s="36"/>
      <c r="K230" s="36"/>
      <c r="L230" s="36"/>
      <c r="M230" s="36"/>
      <c r="N230" s="38">
        <f t="shared" si="30"/>
        <v>0</v>
      </c>
      <c r="O230" s="36"/>
      <c r="P230" s="39"/>
      <c r="Q230" s="39"/>
      <c r="R230" s="40">
        <f t="shared" si="31"/>
        <v>0</v>
      </c>
      <c r="S230" s="39"/>
      <c r="T230" s="41"/>
    </row>
    <row r="231" spans="2:20" ht="15.6" x14ac:dyDescent="0.3">
      <c r="B231" s="60">
        <f t="shared" si="32"/>
        <v>12</v>
      </c>
      <c r="C231" s="60" t="s">
        <v>367</v>
      </c>
      <c r="D231" s="34" t="s">
        <v>368</v>
      </c>
      <c r="E231" s="35">
        <v>45838</v>
      </c>
      <c r="F231" s="36"/>
      <c r="G231" s="37">
        <v>10</v>
      </c>
      <c r="H231" s="38">
        <f t="shared" si="29"/>
        <v>0</v>
      </c>
      <c r="I231" s="36"/>
      <c r="J231" s="36"/>
      <c r="K231" s="36"/>
      <c r="L231" s="36"/>
      <c r="M231" s="36"/>
      <c r="N231" s="38">
        <f t="shared" si="30"/>
        <v>0</v>
      </c>
      <c r="O231" s="36"/>
      <c r="P231" s="39"/>
      <c r="Q231" s="39"/>
      <c r="R231" s="40">
        <f t="shared" si="31"/>
        <v>0</v>
      </c>
      <c r="S231" s="39"/>
      <c r="T231" s="41"/>
    </row>
    <row r="232" spans="2:20" ht="15.6" x14ac:dyDescent="0.3">
      <c r="B232" s="60">
        <f t="shared" si="32"/>
        <v>13</v>
      </c>
      <c r="C232" s="60" t="s">
        <v>369</v>
      </c>
      <c r="D232" s="34" t="s">
        <v>370</v>
      </c>
      <c r="E232" s="35">
        <v>45838</v>
      </c>
      <c r="F232" s="36">
        <v>222.25038000000001</v>
      </c>
      <c r="G232" s="37">
        <v>10</v>
      </c>
      <c r="H232" s="38">
        <f t="shared" si="29"/>
        <v>22.225038000000001</v>
      </c>
      <c r="I232" s="36">
        <v>-2968.8298380000001</v>
      </c>
      <c r="J232" s="36">
        <v>201.21601699999999</v>
      </c>
      <c r="K232" s="36">
        <v>0</v>
      </c>
      <c r="L232" s="36">
        <v>1.022E-2</v>
      </c>
      <c r="M232" s="36">
        <v>-8.0250489999999992</v>
      </c>
      <c r="N232" s="38">
        <f t="shared" si="30"/>
        <v>0</v>
      </c>
      <c r="O232" s="36">
        <v>-8.0250489999999992</v>
      </c>
      <c r="P232" s="39">
        <v>0</v>
      </c>
      <c r="Q232" s="39">
        <v>0</v>
      </c>
      <c r="R232" s="40">
        <f t="shared" si="31"/>
        <v>0</v>
      </c>
      <c r="S232" s="39"/>
      <c r="T232" s="41">
        <v>3519</v>
      </c>
    </row>
    <row r="233" spans="2:20" ht="15.6" x14ac:dyDescent="0.3">
      <c r="B233" s="60">
        <f t="shared" si="32"/>
        <v>14</v>
      </c>
      <c r="C233" s="60" t="s">
        <v>371</v>
      </c>
      <c r="D233" s="34" t="s">
        <v>372</v>
      </c>
      <c r="E233" s="35">
        <v>45838</v>
      </c>
      <c r="F233" s="36">
        <v>146.41</v>
      </c>
      <c r="G233" s="37">
        <v>10</v>
      </c>
      <c r="H233" s="38">
        <f t="shared" si="29"/>
        <v>14.641</v>
      </c>
      <c r="I233" s="36">
        <v>-1687.1363899999999</v>
      </c>
      <c r="J233" s="36">
        <v>54.512715999999998</v>
      </c>
      <c r="K233" s="36">
        <v>0</v>
      </c>
      <c r="L233" s="36">
        <v>2.0509999999999999E-3</v>
      </c>
      <c r="M233" s="36">
        <v>-5.9368480000000003</v>
      </c>
      <c r="N233" s="38">
        <f t="shared" si="30"/>
        <v>0</v>
      </c>
      <c r="O233" s="36">
        <v>-5.9368480000000003</v>
      </c>
      <c r="P233" s="39">
        <v>0</v>
      </c>
      <c r="Q233" s="39">
        <v>0</v>
      </c>
      <c r="R233" s="40">
        <f t="shared" si="31"/>
        <v>0</v>
      </c>
      <c r="S233" s="39"/>
      <c r="T233" s="41">
        <v>1752</v>
      </c>
    </row>
    <row r="234" spans="2:20" ht="15.6" x14ac:dyDescent="0.3">
      <c r="B234" s="60">
        <f t="shared" si="32"/>
        <v>15</v>
      </c>
      <c r="C234" s="60" t="s">
        <v>373</v>
      </c>
      <c r="D234" s="34" t="s">
        <v>374</v>
      </c>
      <c r="E234" s="35">
        <v>45838</v>
      </c>
      <c r="F234" s="36">
        <v>189.83899</v>
      </c>
      <c r="G234" s="37">
        <v>10</v>
      </c>
      <c r="H234" s="38">
        <f t="shared" si="29"/>
        <v>18.983899000000001</v>
      </c>
      <c r="I234" s="36">
        <v>-8406.9679680000008</v>
      </c>
      <c r="J234" s="36">
        <v>441.412327</v>
      </c>
      <c r="K234" s="36">
        <v>0</v>
      </c>
      <c r="L234" s="36">
        <v>1.8901000000000001E-2</v>
      </c>
      <c r="M234" s="36">
        <v>-51.667957999999999</v>
      </c>
      <c r="N234" s="38">
        <f t="shared" si="30"/>
        <v>0</v>
      </c>
      <c r="O234" s="36">
        <v>-51.667957999999999</v>
      </c>
      <c r="P234" s="39">
        <v>0</v>
      </c>
      <c r="Q234" s="39">
        <v>0</v>
      </c>
      <c r="R234" s="40">
        <f t="shared" si="31"/>
        <v>0</v>
      </c>
      <c r="S234" s="39"/>
      <c r="T234" s="41">
        <v>1075</v>
      </c>
    </row>
    <row r="235" spans="2:20" ht="15.6" x14ac:dyDescent="0.3">
      <c r="B235" s="60">
        <f t="shared" si="32"/>
        <v>16</v>
      </c>
      <c r="C235" s="60" t="s">
        <v>375</v>
      </c>
      <c r="D235" s="46" t="s">
        <v>376</v>
      </c>
      <c r="E235" s="35">
        <v>45838</v>
      </c>
      <c r="F235" s="80"/>
      <c r="G235" s="81">
        <v>10</v>
      </c>
      <c r="H235" s="82">
        <f t="shared" si="29"/>
        <v>0</v>
      </c>
      <c r="I235" s="80"/>
      <c r="J235" s="80"/>
      <c r="K235" s="80"/>
      <c r="L235" s="80"/>
      <c r="M235" s="80"/>
      <c r="N235" s="82">
        <f t="shared" si="30"/>
        <v>0</v>
      </c>
      <c r="O235" s="80"/>
      <c r="P235" s="83"/>
      <c r="Q235" s="83"/>
      <c r="R235" s="84">
        <f t="shared" si="31"/>
        <v>0</v>
      </c>
      <c r="S235" s="83"/>
      <c r="T235" s="85"/>
    </row>
    <row r="236" spans="2:20" ht="15.6" x14ac:dyDescent="0.3">
      <c r="B236" s="60">
        <f t="shared" si="32"/>
        <v>17</v>
      </c>
      <c r="C236" s="60" t="s">
        <v>377</v>
      </c>
      <c r="D236" s="34" t="s">
        <v>378</v>
      </c>
      <c r="E236" s="35">
        <v>45838</v>
      </c>
      <c r="F236" s="36"/>
      <c r="G236" s="37">
        <v>10</v>
      </c>
      <c r="H236" s="38">
        <f t="shared" si="29"/>
        <v>0</v>
      </c>
      <c r="I236" s="36"/>
      <c r="J236" s="36"/>
      <c r="K236" s="36"/>
      <c r="L236" s="36"/>
      <c r="M236" s="36"/>
      <c r="N236" s="38">
        <f t="shared" si="30"/>
        <v>0</v>
      </c>
      <c r="O236" s="36"/>
      <c r="P236" s="39"/>
      <c r="Q236" s="39"/>
      <c r="R236" s="40">
        <f t="shared" si="31"/>
        <v>0</v>
      </c>
      <c r="S236" s="39"/>
      <c r="T236" s="41"/>
    </row>
    <row r="237" spans="2:20" ht="15.6" x14ac:dyDescent="0.3">
      <c r="B237" s="60">
        <f t="shared" si="32"/>
        <v>18</v>
      </c>
      <c r="C237" s="60" t="s">
        <v>379</v>
      </c>
      <c r="D237" s="34" t="s">
        <v>380</v>
      </c>
      <c r="E237" s="35">
        <v>45838</v>
      </c>
      <c r="F237" s="36">
        <v>119.7504</v>
      </c>
      <c r="G237" s="37">
        <v>10</v>
      </c>
      <c r="H237" s="38">
        <f t="shared" si="29"/>
        <v>11.97504</v>
      </c>
      <c r="I237" s="36">
        <v>-2.4677899999999999</v>
      </c>
      <c r="J237" s="36">
        <v>5.7444649999999999</v>
      </c>
      <c r="K237" s="36">
        <v>0</v>
      </c>
      <c r="L237" s="36">
        <v>0</v>
      </c>
      <c r="M237" s="36">
        <v>-6.6892329999999998</v>
      </c>
      <c r="N237" s="38">
        <f t="shared" si="30"/>
        <v>0</v>
      </c>
      <c r="O237" s="36">
        <v>-6.6892329999999998</v>
      </c>
      <c r="P237" s="39">
        <v>0</v>
      </c>
      <c r="Q237" s="39">
        <v>0</v>
      </c>
      <c r="R237" s="40">
        <f t="shared" si="31"/>
        <v>0</v>
      </c>
      <c r="S237" s="39"/>
      <c r="T237" s="41">
        <v>494</v>
      </c>
    </row>
    <row r="238" spans="2:20" ht="15.6" x14ac:dyDescent="0.3">
      <c r="B238" s="60">
        <f t="shared" si="32"/>
        <v>19</v>
      </c>
      <c r="C238" s="60" t="s">
        <v>381</v>
      </c>
      <c r="D238" s="46" t="s">
        <v>382</v>
      </c>
      <c r="E238" s="35">
        <v>45838</v>
      </c>
      <c r="F238" s="80">
        <v>126.0116</v>
      </c>
      <c r="G238" s="81">
        <v>10</v>
      </c>
      <c r="H238" s="82">
        <f t="shared" si="29"/>
        <v>12.60116</v>
      </c>
      <c r="I238" s="80">
        <v>644.842129</v>
      </c>
      <c r="J238" s="80">
        <v>1251.561858</v>
      </c>
      <c r="K238" s="80">
        <v>1430.987885</v>
      </c>
      <c r="L238" s="80">
        <v>5.6777800000000003</v>
      </c>
      <c r="M238" s="80">
        <v>-61.786453999999999</v>
      </c>
      <c r="N238" s="82">
        <f t="shared" si="30"/>
        <v>-19.456614999999999</v>
      </c>
      <c r="O238" s="80">
        <v>-42.329839</v>
      </c>
      <c r="P238" s="83">
        <v>0</v>
      </c>
      <c r="Q238" s="83">
        <v>0</v>
      </c>
      <c r="R238" s="84">
        <f t="shared" si="31"/>
        <v>0</v>
      </c>
      <c r="S238" s="83"/>
      <c r="T238" s="85"/>
    </row>
    <row r="239" spans="2:20" ht="15.6" x14ac:dyDescent="0.3">
      <c r="B239" s="60">
        <f t="shared" si="32"/>
        <v>20</v>
      </c>
      <c r="C239" s="60" t="s">
        <v>383</v>
      </c>
      <c r="D239" s="34" t="s">
        <v>384</v>
      </c>
      <c r="E239" s="35">
        <v>45838</v>
      </c>
      <c r="F239" s="36">
        <v>107</v>
      </c>
      <c r="G239" s="37">
        <v>10</v>
      </c>
      <c r="H239" s="38">
        <f t="shared" si="29"/>
        <v>10.7</v>
      </c>
      <c r="I239" s="36">
        <v>-77.244416000000001</v>
      </c>
      <c r="J239" s="36">
        <v>303.06462299999998</v>
      </c>
      <c r="K239" s="36">
        <v>0</v>
      </c>
      <c r="L239" s="36">
        <v>7.5786000000000006E-2</v>
      </c>
      <c r="M239" s="36">
        <v>-24.587530000000001</v>
      </c>
      <c r="N239" s="38">
        <f t="shared" si="30"/>
        <v>-5.2647919999999999</v>
      </c>
      <c r="O239" s="36">
        <v>-19.322738000000001</v>
      </c>
      <c r="P239" s="39">
        <v>0</v>
      </c>
      <c r="Q239" s="39">
        <v>0</v>
      </c>
      <c r="R239" s="40">
        <f t="shared" si="31"/>
        <v>0</v>
      </c>
      <c r="S239" s="39"/>
      <c r="T239" s="41">
        <v>1376</v>
      </c>
    </row>
    <row r="240" spans="2:20" ht="15.6" x14ac:dyDescent="0.3">
      <c r="B240" s="60">
        <f t="shared" si="32"/>
        <v>21</v>
      </c>
      <c r="C240" s="60" t="s">
        <v>385</v>
      </c>
      <c r="D240" s="34" t="s">
        <v>386</v>
      </c>
      <c r="E240" s="35">
        <v>45838</v>
      </c>
      <c r="F240" s="36">
        <v>230</v>
      </c>
      <c r="G240" s="37">
        <v>10</v>
      </c>
      <c r="H240" s="38">
        <f t="shared" si="29"/>
        <v>23</v>
      </c>
      <c r="I240" s="36">
        <v>137.365824</v>
      </c>
      <c r="J240" s="36">
        <v>289.43131499999998</v>
      </c>
      <c r="K240" s="36">
        <v>0</v>
      </c>
      <c r="L240" s="36">
        <v>2.853243</v>
      </c>
      <c r="M240" s="36">
        <v>6.6534089999999999</v>
      </c>
      <c r="N240" s="38">
        <f t="shared" si="30"/>
        <v>13.884779</v>
      </c>
      <c r="O240" s="36">
        <v>-7.2313700000000001</v>
      </c>
      <c r="P240" s="39">
        <v>0</v>
      </c>
      <c r="Q240" s="39">
        <v>0</v>
      </c>
      <c r="R240" s="40">
        <f t="shared" si="31"/>
        <v>0</v>
      </c>
      <c r="S240" s="39"/>
      <c r="T240" s="41">
        <v>770</v>
      </c>
    </row>
    <row r="241" spans="2:20" ht="15.6" x14ac:dyDescent="0.3">
      <c r="B241" s="60">
        <f t="shared" si="32"/>
        <v>22</v>
      </c>
      <c r="C241" s="60" t="s">
        <v>387</v>
      </c>
      <c r="D241" s="46" t="s">
        <v>388</v>
      </c>
      <c r="E241" s="35">
        <v>45838</v>
      </c>
      <c r="F241" s="36">
        <v>607.88099999999997</v>
      </c>
      <c r="G241" s="37">
        <v>5</v>
      </c>
      <c r="H241" s="38">
        <f t="shared" si="29"/>
        <v>121.5762</v>
      </c>
      <c r="I241" s="36">
        <v>1226.782643</v>
      </c>
      <c r="J241" s="36">
        <v>2012.2708709999999</v>
      </c>
      <c r="K241" s="36">
        <v>0</v>
      </c>
      <c r="L241" s="36">
        <v>2.0279999999999999E-3</v>
      </c>
      <c r="M241" s="36">
        <v>-117.72706700000001</v>
      </c>
      <c r="N241" s="38">
        <f t="shared" si="30"/>
        <v>0</v>
      </c>
      <c r="O241" s="36">
        <v>-117.72706700000001</v>
      </c>
      <c r="P241" s="39">
        <v>0</v>
      </c>
      <c r="Q241" s="39">
        <v>0</v>
      </c>
      <c r="R241" s="40">
        <f t="shared" si="31"/>
        <v>0</v>
      </c>
      <c r="S241" s="39"/>
      <c r="T241" s="41"/>
    </row>
    <row r="242" spans="2:20" ht="15.6" x14ac:dyDescent="0.3">
      <c r="B242" s="60">
        <f t="shared" si="32"/>
        <v>23</v>
      </c>
      <c r="C242" s="60" t="s">
        <v>389</v>
      </c>
      <c r="D242" s="46" t="s">
        <v>390</v>
      </c>
      <c r="E242" s="35">
        <v>45838</v>
      </c>
      <c r="F242" s="36">
        <v>522.14400000000001</v>
      </c>
      <c r="G242" s="37">
        <v>10</v>
      </c>
      <c r="H242" s="38">
        <f t="shared" si="29"/>
        <v>52.214399999999998</v>
      </c>
      <c r="I242" s="36">
        <v>686.48123199999998</v>
      </c>
      <c r="J242" s="36">
        <v>904.79272900000001</v>
      </c>
      <c r="K242" s="36">
        <v>0</v>
      </c>
      <c r="L242" s="36">
        <v>1.533625</v>
      </c>
      <c r="M242" s="36">
        <v>-33.430129999999998</v>
      </c>
      <c r="N242" s="38">
        <f t="shared" si="30"/>
        <v>-8.4683239999999991</v>
      </c>
      <c r="O242" s="36">
        <v>-24.961805999999999</v>
      </c>
      <c r="P242" s="39">
        <v>0</v>
      </c>
      <c r="Q242" s="39">
        <v>0</v>
      </c>
      <c r="R242" s="40">
        <f t="shared" si="31"/>
        <v>0</v>
      </c>
      <c r="S242" s="39"/>
      <c r="T242" s="41">
        <v>961</v>
      </c>
    </row>
    <row r="243" spans="2:20" ht="15.6" x14ac:dyDescent="0.3">
      <c r="B243" s="60">
        <f t="shared" si="32"/>
        <v>24</v>
      </c>
      <c r="C243" s="60" t="s">
        <v>391</v>
      </c>
      <c r="D243" s="34" t="s">
        <v>392</v>
      </c>
      <c r="E243" s="35">
        <v>45838</v>
      </c>
      <c r="F243" s="36">
        <v>44.670360000000002</v>
      </c>
      <c r="G243" s="37">
        <v>10</v>
      </c>
      <c r="H243" s="38">
        <f t="shared" si="29"/>
        <v>4.4670360000000002</v>
      </c>
      <c r="I243" s="36">
        <v>-482.56292200000001</v>
      </c>
      <c r="J243" s="36">
        <v>710.70578799999998</v>
      </c>
      <c r="K243" s="36">
        <v>0</v>
      </c>
      <c r="L243" s="36">
        <v>0</v>
      </c>
      <c r="M243" s="36">
        <v>-23.639281</v>
      </c>
      <c r="N243" s="38">
        <f t="shared" si="30"/>
        <v>0</v>
      </c>
      <c r="O243" s="36">
        <v>-23.639281</v>
      </c>
      <c r="P243" s="39">
        <v>0</v>
      </c>
      <c r="Q243" s="39">
        <v>0</v>
      </c>
      <c r="R243" s="40">
        <f t="shared" si="31"/>
        <v>0</v>
      </c>
      <c r="S243" s="39"/>
      <c r="T243" s="41">
        <v>852</v>
      </c>
    </row>
    <row r="244" spans="2:20" ht="15.6" x14ac:dyDescent="0.3">
      <c r="B244" s="60">
        <f t="shared" si="32"/>
        <v>25</v>
      </c>
      <c r="C244" s="60" t="s">
        <v>393</v>
      </c>
      <c r="D244" s="34" t="s">
        <v>394</v>
      </c>
      <c r="E244" s="35">
        <v>45838</v>
      </c>
      <c r="F244" s="36">
        <v>87.75</v>
      </c>
      <c r="G244" s="37">
        <v>10</v>
      </c>
      <c r="H244" s="38">
        <f t="shared" si="29"/>
        <v>8.7750000000000004</v>
      </c>
      <c r="I244" s="36">
        <v>-493.03665100000001</v>
      </c>
      <c r="J244" s="36">
        <v>1467.051952</v>
      </c>
      <c r="K244" s="36">
        <v>0</v>
      </c>
      <c r="L244" s="36">
        <v>0</v>
      </c>
      <c r="M244" s="36">
        <v>-37.734217000000001</v>
      </c>
      <c r="N244" s="38">
        <f t="shared" si="30"/>
        <v>-8.5376050000000028</v>
      </c>
      <c r="O244" s="36">
        <v>-29.196611999999998</v>
      </c>
      <c r="P244" s="39">
        <v>0</v>
      </c>
      <c r="Q244" s="39">
        <v>0</v>
      </c>
      <c r="R244" s="40">
        <f t="shared" si="31"/>
        <v>0</v>
      </c>
      <c r="S244" s="39"/>
      <c r="T244" s="41">
        <v>1537</v>
      </c>
    </row>
    <row r="245" spans="2:20" ht="15.6" x14ac:dyDescent="0.3">
      <c r="B245" s="60">
        <f t="shared" si="32"/>
        <v>26</v>
      </c>
      <c r="C245" s="60" t="s">
        <v>395</v>
      </c>
      <c r="D245" s="34" t="s">
        <v>396</v>
      </c>
      <c r="E245" s="35">
        <v>45838</v>
      </c>
      <c r="F245" s="36">
        <v>298.40607</v>
      </c>
      <c r="G245" s="37">
        <v>10</v>
      </c>
      <c r="H245" s="38">
        <f t="shared" si="29"/>
        <v>29.840606999999999</v>
      </c>
      <c r="I245" s="36">
        <v>112.942911</v>
      </c>
      <c r="J245" s="36">
        <v>1235.82259</v>
      </c>
      <c r="K245" s="36">
        <v>19.229123999999999</v>
      </c>
      <c r="L245" s="36">
        <v>2.4644629999999998</v>
      </c>
      <c r="M245" s="36">
        <v>-598.20493599999998</v>
      </c>
      <c r="N245" s="38">
        <f t="shared" si="30"/>
        <v>0</v>
      </c>
      <c r="O245" s="36">
        <v>-598.20493599999998</v>
      </c>
      <c r="P245" s="39">
        <v>0</v>
      </c>
      <c r="Q245" s="39">
        <v>0</v>
      </c>
      <c r="R245" s="40">
        <f t="shared" si="31"/>
        <v>0</v>
      </c>
      <c r="S245" s="39"/>
      <c r="T245" s="41">
        <v>1049</v>
      </c>
    </row>
    <row r="246" spans="2:20" ht="15.6" x14ac:dyDescent="0.3">
      <c r="B246" s="60">
        <f t="shared" si="32"/>
        <v>27</v>
      </c>
      <c r="C246" s="60" t="s">
        <v>397</v>
      </c>
      <c r="D246" s="34" t="s">
        <v>398</v>
      </c>
      <c r="E246" s="35">
        <v>45838</v>
      </c>
      <c r="F246" s="36">
        <v>141</v>
      </c>
      <c r="G246" s="37">
        <v>10</v>
      </c>
      <c r="H246" s="38">
        <f t="shared" si="29"/>
        <v>14.1</v>
      </c>
      <c r="I246" s="36">
        <v>-8.7957630000000009</v>
      </c>
      <c r="J246" s="36">
        <v>601.65531899999996</v>
      </c>
      <c r="K246" s="36">
        <v>0</v>
      </c>
      <c r="L246" s="36">
        <v>40.127298000000003</v>
      </c>
      <c r="M246" s="36">
        <v>-2.4381430000000002</v>
      </c>
      <c r="N246" s="38">
        <f t="shared" si="30"/>
        <v>0</v>
      </c>
      <c r="O246" s="36">
        <v>-2.4381430000000002</v>
      </c>
      <c r="P246" s="39">
        <v>0</v>
      </c>
      <c r="Q246" s="39">
        <v>0</v>
      </c>
      <c r="R246" s="40">
        <f t="shared" si="31"/>
        <v>0</v>
      </c>
      <c r="S246" s="39"/>
      <c r="T246" s="41">
        <v>1280</v>
      </c>
    </row>
    <row r="247" spans="2:20" ht="15.6" x14ac:dyDescent="0.3">
      <c r="B247" s="28"/>
      <c r="C247" s="28"/>
      <c r="D247" s="28"/>
      <c r="E247" s="28"/>
      <c r="F247" s="28"/>
      <c r="G247" s="43"/>
      <c r="H247" s="44"/>
      <c r="I247" s="30"/>
      <c r="J247" s="30"/>
      <c r="K247" s="30"/>
      <c r="L247" s="30"/>
      <c r="M247" s="30"/>
      <c r="N247" s="45"/>
      <c r="O247" s="30"/>
      <c r="P247" s="30"/>
      <c r="Q247" s="30"/>
      <c r="R247" s="45"/>
      <c r="S247" s="30"/>
      <c r="T247" s="30"/>
    </row>
    <row r="248" spans="2:20" ht="15.6" x14ac:dyDescent="0.3">
      <c r="B248" s="47">
        <f>COUNT(B185:B247)</f>
        <v>60</v>
      </c>
      <c r="C248" s="47"/>
      <c r="D248" s="48"/>
      <c r="E248" s="48"/>
      <c r="F248" s="48">
        <f>SUM(F185:F247)</f>
        <v>21669.496535000002</v>
      </c>
      <c r="G248" s="49"/>
      <c r="H248" s="50">
        <f>SUM(H185:H247)</f>
        <v>2467.8082429999995</v>
      </c>
      <c r="I248" s="48">
        <f>SUM(I185:I247)</f>
        <v>166197.23057499994</v>
      </c>
      <c r="J248" s="48">
        <f>SUM(J185:J247)</f>
        <v>496522.66599400004</v>
      </c>
      <c r="K248" s="48">
        <f>SUM(K185:K247)</f>
        <v>469753.48159599991</v>
      </c>
      <c r="L248" s="48">
        <f>SUM(L185:L247)</f>
        <v>23985.489572000006</v>
      </c>
      <c r="M248" s="48">
        <f>SUM(M185:M247)</f>
        <v>-888.35033699999917</v>
      </c>
      <c r="N248" s="51">
        <f>SUM(N185:N247)</f>
        <v>2095.7392780000005</v>
      </c>
      <c r="O248" s="48">
        <f>SUM(O185:O247)</f>
        <v>-2984.089614999999</v>
      </c>
      <c r="P248" s="52"/>
      <c r="Q248" s="52"/>
      <c r="R248" s="53"/>
      <c r="S248" s="52"/>
      <c r="T248" s="54">
        <f>SUM(T185:T247)</f>
        <v>65345</v>
      </c>
    </row>
    <row r="249" spans="2:20" ht="15.6" x14ac:dyDescent="0.3">
      <c r="B249" s="28"/>
      <c r="C249" s="28"/>
      <c r="D249" s="28"/>
      <c r="E249" s="28"/>
      <c r="F249" s="28"/>
      <c r="G249" s="43"/>
      <c r="H249" s="44"/>
      <c r="I249" s="30"/>
      <c r="J249" s="30"/>
      <c r="K249" s="30"/>
      <c r="L249" s="30"/>
      <c r="M249" s="30"/>
      <c r="N249" s="45"/>
      <c r="O249" s="30"/>
      <c r="P249" s="30"/>
      <c r="Q249" s="30"/>
      <c r="R249" s="45"/>
      <c r="S249" s="30"/>
      <c r="T249" s="30"/>
    </row>
    <row r="250" spans="2:20" ht="15.6" x14ac:dyDescent="0.3">
      <c r="B250" s="28"/>
      <c r="C250" s="28"/>
      <c r="D250" s="28"/>
      <c r="E250" s="28"/>
      <c r="F250" s="28"/>
      <c r="G250" s="43"/>
      <c r="H250" s="44"/>
      <c r="I250" s="30"/>
      <c r="J250" s="30"/>
      <c r="K250" s="30"/>
      <c r="L250" s="30"/>
      <c r="M250" s="30"/>
      <c r="N250" s="45"/>
      <c r="O250" s="30"/>
      <c r="P250" s="30"/>
      <c r="Q250" s="30"/>
      <c r="R250" s="45"/>
      <c r="S250" s="30"/>
      <c r="T250" s="30"/>
    </row>
    <row r="251" spans="2:20" ht="18" x14ac:dyDescent="0.35">
      <c r="B251" s="28"/>
      <c r="C251" s="32">
        <v>9</v>
      </c>
      <c r="D251" s="32" t="s">
        <v>399</v>
      </c>
      <c r="E251" s="61"/>
      <c r="F251" s="61"/>
      <c r="G251" s="43"/>
      <c r="H251" s="44"/>
      <c r="I251" s="30"/>
      <c r="J251" s="30"/>
      <c r="K251" s="30"/>
      <c r="L251" s="30"/>
      <c r="M251" s="30"/>
      <c r="N251" s="45"/>
      <c r="O251" s="30"/>
      <c r="P251" s="30"/>
      <c r="Q251" s="30"/>
      <c r="R251" s="45"/>
      <c r="S251" s="30"/>
      <c r="T251" s="30"/>
    </row>
    <row r="252" spans="2:20" ht="15.6" x14ac:dyDescent="0.3">
      <c r="B252" s="28"/>
      <c r="C252" s="28"/>
      <c r="D252" s="28"/>
      <c r="E252" s="28"/>
      <c r="F252" s="28"/>
      <c r="G252" s="43"/>
      <c r="H252" s="44"/>
      <c r="I252" s="30"/>
      <c r="J252" s="30"/>
      <c r="K252" s="30"/>
      <c r="L252" s="30"/>
      <c r="M252" s="30"/>
      <c r="N252" s="45"/>
      <c r="O252" s="30"/>
      <c r="P252" s="30"/>
      <c r="Q252" s="30"/>
      <c r="R252" s="45"/>
      <c r="S252" s="30"/>
      <c r="T252" s="30"/>
    </row>
    <row r="253" spans="2:20" ht="15.6" x14ac:dyDescent="0.3">
      <c r="B253" s="60">
        <v>1</v>
      </c>
      <c r="C253" s="60" t="s">
        <v>400</v>
      </c>
      <c r="D253" s="34" t="s">
        <v>401</v>
      </c>
      <c r="E253" s="35">
        <v>45838</v>
      </c>
      <c r="F253" s="36">
        <v>465.65035</v>
      </c>
      <c r="G253" s="37">
        <v>10</v>
      </c>
      <c r="H253" s="38">
        <f t="shared" ref="H253:H258" si="33">+F253/G253</f>
        <v>46.565035000000002</v>
      </c>
      <c r="I253" s="36">
        <v>998.50191400000006</v>
      </c>
      <c r="J253" s="36">
        <v>1275.9783500000001</v>
      </c>
      <c r="K253" s="36">
        <v>454.18882400000001</v>
      </c>
      <c r="L253" s="36">
        <v>1.3943000000000001E-2</v>
      </c>
      <c r="M253" s="36">
        <v>4.4275570000000002</v>
      </c>
      <c r="N253" s="38">
        <f t="shared" ref="N253:N258" si="34">+M253-O253</f>
        <v>-1.5664920000000002</v>
      </c>
      <c r="O253" s="36">
        <v>5.9940490000000004</v>
      </c>
      <c r="P253" s="39">
        <v>0</v>
      </c>
      <c r="Q253" s="39">
        <v>0</v>
      </c>
      <c r="R253" s="40">
        <f t="shared" ref="R253:R258" si="35">SUM(P253:Q253)</f>
        <v>0</v>
      </c>
      <c r="S253" s="39"/>
      <c r="T253" s="41">
        <v>574</v>
      </c>
    </row>
    <row r="254" spans="2:20" ht="15.6" x14ac:dyDescent="0.3">
      <c r="B254" s="60">
        <f>+B253+1</f>
        <v>2</v>
      </c>
      <c r="C254" s="60" t="s">
        <v>402</v>
      </c>
      <c r="D254" s="34" t="s">
        <v>403</v>
      </c>
      <c r="E254" s="35">
        <v>45838</v>
      </c>
      <c r="F254" s="36">
        <v>300.01119999999997</v>
      </c>
      <c r="G254" s="37">
        <v>10</v>
      </c>
      <c r="H254" s="38">
        <f t="shared" si="33"/>
        <v>30.001119999999997</v>
      </c>
      <c r="I254" s="36">
        <v>895.74696600000004</v>
      </c>
      <c r="J254" s="36">
        <v>1229.7270900000001</v>
      </c>
      <c r="K254" s="36">
        <v>50.148460999999998</v>
      </c>
      <c r="L254" s="36">
        <v>0.136876</v>
      </c>
      <c r="M254" s="36">
        <v>-5.9573840000000002</v>
      </c>
      <c r="N254" s="38">
        <f t="shared" si="34"/>
        <v>10.581008000000001</v>
      </c>
      <c r="O254" s="36">
        <v>-16.538392000000002</v>
      </c>
      <c r="P254" s="39">
        <v>0</v>
      </c>
      <c r="Q254" s="39">
        <v>0</v>
      </c>
      <c r="R254" s="40">
        <f t="shared" si="35"/>
        <v>0</v>
      </c>
      <c r="S254" s="39"/>
      <c r="T254" s="41">
        <v>1764</v>
      </c>
    </row>
    <row r="255" spans="2:20" ht="15.6" x14ac:dyDescent="0.3">
      <c r="B255" s="60">
        <f t="shared" ref="B255:B256" si="36">+B254+1</f>
        <v>3</v>
      </c>
      <c r="C255" s="60" t="s">
        <v>404</v>
      </c>
      <c r="D255" s="34" t="s">
        <v>405</v>
      </c>
      <c r="E255" s="35">
        <v>45838</v>
      </c>
      <c r="F255" s="36">
        <v>184.8</v>
      </c>
      <c r="G255" s="37">
        <v>10</v>
      </c>
      <c r="H255" s="38">
        <f t="shared" si="33"/>
        <v>18.48</v>
      </c>
      <c r="I255" s="36">
        <v>2414.3392269999999</v>
      </c>
      <c r="J255" s="36">
        <v>7101.4036599999999</v>
      </c>
      <c r="K255" s="36">
        <v>18191.084239</v>
      </c>
      <c r="L255" s="36">
        <v>256.18815599999999</v>
      </c>
      <c r="M255" s="36">
        <v>338.57607300000001</v>
      </c>
      <c r="N255" s="38">
        <f t="shared" si="34"/>
        <v>247.453532</v>
      </c>
      <c r="O255" s="36">
        <v>91.122540999999998</v>
      </c>
      <c r="P255" s="39">
        <v>25</v>
      </c>
      <c r="Q255" s="39">
        <v>0</v>
      </c>
      <c r="R255" s="40">
        <f t="shared" si="35"/>
        <v>25</v>
      </c>
      <c r="S255" s="39"/>
      <c r="T255" s="41">
        <v>514</v>
      </c>
    </row>
    <row r="256" spans="2:20" ht="15.6" x14ac:dyDescent="0.3">
      <c r="B256" s="60">
        <f t="shared" si="36"/>
        <v>4</v>
      </c>
      <c r="C256" s="60" t="s">
        <v>406</v>
      </c>
      <c r="D256" s="34" t="s">
        <v>407</v>
      </c>
      <c r="E256" s="35">
        <v>45838</v>
      </c>
      <c r="F256" s="36">
        <v>96.6</v>
      </c>
      <c r="G256" s="37">
        <v>10</v>
      </c>
      <c r="H256" s="38">
        <f t="shared" si="33"/>
        <v>9.66</v>
      </c>
      <c r="I256" s="36">
        <v>2369.9340000000002</v>
      </c>
      <c r="J256" s="36">
        <v>4495.2709999999997</v>
      </c>
      <c r="K256" s="36">
        <v>6619.6809999999996</v>
      </c>
      <c r="L256" s="36">
        <v>189.30799999999999</v>
      </c>
      <c r="M256" s="36">
        <v>110.983</v>
      </c>
      <c r="N256" s="38">
        <f t="shared" si="34"/>
        <v>0</v>
      </c>
      <c r="O256" s="36">
        <v>110.983</v>
      </c>
      <c r="P256" s="39">
        <v>55</v>
      </c>
      <c r="Q256" s="39">
        <v>0</v>
      </c>
      <c r="R256" s="40">
        <f t="shared" si="35"/>
        <v>55</v>
      </c>
      <c r="S256" s="39"/>
      <c r="T256" s="41">
        <v>1152</v>
      </c>
    </row>
    <row r="257" spans="2:20" ht="15.6" x14ac:dyDescent="0.3">
      <c r="B257" s="60">
        <f>+B256+1</f>
        <v>5</v>
      </c>
      <c r="C257" s="60" t="s">
        <v>408</v>
      </c>
      <c r="D257" s="34" t="s">
        <v>409</v>
      </c>
      <c r="E257" s="35">
        <v>45838</v>
      </c>
      <c r="F257" s="36">
        <v>1360</v>
      </c>
      <c r="G257" s="37">
        <v>10</v>
      </c>
      <c r="H257" s="38">
        <f t="shared" si="33"/>
        <v>136</v>
      </c>
      <c r="I257" s="36">
        <v>270.34983899999997</v>
      </c>
      <c r="J257" s="36">
        <v>1647.350224</v>
      </c>
      <c r="K257" s="36">
        <v>639.73800700000004</v>
      </c>
      <c r="L257" s="36">
        <v>3.2429320000000001</v>
      </c>
      <c r="M257" s="36">
        <v>-306.71353099999999</v>
      </c>
      <c r="N257" s="38">
        <f t="shared" si="34"/>
        <v>0</v>
      </c>
      <c r="O257" s="36">
        <v>-306.71353099999999</v>
      </c>
      <c r="P257" s="39">
        <v>0</v>
      </c>
      <c r="Q257" s="39">
        <v>0</v>
      </c>
      <c r="R257" s="40">
        <f t="shared" si="35"/>
        <v>0</v>
      </c>
      <c r="S257" s="39"/>
      <c r="T257" s="41">
        <v>3296</v>
      </c>
    </row>
    <row r="258" spans="2:20" ht="15.6" x14ac:dyDescent="0.3">
      <c r="B258" s="60">
        <f>+B257+1</f>
        <v>6</v>
      </c>
      <c r="C258" s="60" t="s">
        <v>410</v>
      </c>
      <c r="D258" s="34" t="s">
        <v>411</v>
      </c>
      <c r="E258" s="35">
        <v>45838</v>
      </c>
      <c r="F258" s="36">
        <v>594.28728999999998</v>
      </c>
      <c r="G258" s="37">
        <v>10</v>
      </c>
      <c r="H258" s="38">
        <f t="shared" si="33"/>
        <v>59.428728999999997</v>
      </c>
      <c r="I258" s="36">
        <v>2530.2173079999998</v>
      </c>
      <c r="J258" s="36">
        <v>6772.988738</v>
      </c>
      <c r="K258" s="36">
        <v>8279.4708790000004</v>
      </c>
      <c r="L258" s="36">
        <v>261.30150800000001</v>
      </c>
      <c r="M258" s="36">
        <v>-23.174824000000001</v>
      </c>
      <c r="N258" s="38">
        <f t="shared" si="34"/>
        <v>-24.993908000000001</v>
      </c>
      <c r="O258" s="36">
        <v>1.8190839999999999</v>
      </c>
      <c r="P258" s="39">
        <v>0</v>
      </c>
      <c r="Q258" s="39">
        <v>0</v>
      </c>
      <c r="R258" s="40">
        <f t="shared" si="35"/>
        <v>0</v>
      </c>
      <c r="S258" s="39"/>
      <c r="T258" s="41">
        <v>465</v>
      </c>
    </row>
    <row r="259" spans="2:20" ht="15.6" x14ac:dyDescent="0.3">
      <c r="B259" s="28"/>
      <c r="C259" s="28"/>
      <c r="D259" s="28"/>
      <c r="E259" s="28"/>
      <c r="F259" s="28"/>
      <c r="G259" s="43"/>
      <c r="H259" s="44"/>
      <c r="I259" s="30"/>
      <c r="J259" s="30"/>
      <c r="K259" s="30"/>
      <c r="L259" s="30"/>
      <c r="M259" s="30"/>
      <c r="N259" s="45"/>
      <c r="O259" s="30"/>
      <c r="P259" s="30"/>
      <c r="Q259" s="30"/>
      <c r="R259" s="45"/>
      <c r="S259" s="30"/>
      <c r="T259" s="30"/>
    </row>
    <row r="260" spans="2:20" ht="18" x14ac:dyDescent="0.35">
      <c r="B260" s="28"/>
      <c r="C260" s="28"/>
      <c r="D260" s="56" t="s">
        <v>30</v>
      </c>
      <c r="E260" s="28"/>
      <c r="F260" s="28"/>
      <c r="G260" s="43"/>
      <c r="H260" s="44"/>
      <c r="I260" s="30"/>
      <c r="J260" s="30"/>
      <c r="K260" s="30"/>
      <c r="L260" s="30"/>
      <c r="M260" s="30"/>
      <c r="N260" s="45"/>
      <c r="O260" s="30"/>
      <c r="P260" s="30"/>
      <c r="Q260" s="30"/>
      <c r="R260" s="45"/>
      <c r="S260" s="30"/>
      <c r="T260" s="30"/>
    </row>
    <row r="261" spans="2:20" ht="15.6" x14ac:dyDescent="0.3">
      <c r="B261" s="60">
        <v>1</v>
      </c>
      <c r="C261" s="60" t="s">
        <v>412</v>
      </c>
      <c r="D261" s="34" t="s">
        <v>413</v>
      </c>
      <c r="E261" s="35">
        <v>45930</v>
      </c>
      <c r="F261" s="36"/>
      <c r="G261" s="37">
        <v>10</v>
      </c>
      <c r="H261" s="38">
        <f>+F261/G261</f>
        <v>0</v>
      </c>
      <c r="I261" s="36"/>
      <c r="J261" s="36"/>
      <c r="K261" s="36"/>
      <c r="L261" s="36"/>
      <c r="M261" s="36"/>
      <c r="N261" s="38">
        <f>+M261-O261</f>
        <v>0</v>
      </c>
      <c r="O261" s="36"/>
      <c r="P261" s="39"/>
      <c r="Q261" s="39"/>
      <c r="R261" s="40">
        <f>SUM(P261:Q261)</f>
        <v>0</v>
      </c>
      <c r="S261" s="39"/>
      <c r="T261" s="41"/>
    </row>
    <row r="262" spans="2:20" ht="15.6" x14ac:dyDescent="0.3">
      <c r="B262" s="60">
        <f>+B261+1</f>
        <v>2</v>
      </c>
      <c r="C262" s="60" t="s">
        <v>414</v>
      </c>
      <c r="D262" s="34" t="s">
        <v>415</v>
      </c>
      <c r="E262" s="35">
        <v>45930</v>
      </c>
      <c r="F262" s="36"/>
      <c r="G262" s="37">
        <v>10</v>
      </c>
      <c r="H262" s="38">
        <f>+F262/G262</f>
        <v>0</v>
      </c>
      <c r="I262" s="36"/>
      <c r="J262" s="36"/>
      <c r="K262" s="36"/>
      <c r="L262" s="36"/>
      <c r="M262" s="36"/>
      <c r="N262" s="38">
        <f>+M262-O262</f>
        <v>0</v>
      </c>
      <c r="O262" s="36"/>
      <c r="P262" s="39"/>
      <c r="Q262" s="39"/>
      <c r="R262" s="40">
        <f>SUM(P262:Q262)</f>
        <v>0</v>
      </c>
      <c r="S262" s="39"/>
      <c r="T262" s="41"/>
    </row>
    <row r="263" spans="2:20" ht="15.6" x14ac:dyDescent="0.3">
      <c r="B263" s="60">
        <f>+B262+1</f>
        <v>3</v>
      </c>
      <c r="C263" s="60" t="s">
        <v>416</v>
      </c>
      <c r="D263" s="34" t="s">
        <v>417</v>
      </c>
      <c r="E263" s="35">
        <v>45930</v>
      </c>
      <c r="F263" s="36"/>
      <c r="G263" s="37">
        <v>10</v>
      </c>
      <c r="H263" s="38">
        <f>+F263/G263</f>
        <v>0</v>
      </c>
      <c r="I263" s="36"/>
      <c r="J263" s="36"/>
      <c r="K263" s="36"/>
      <c r="L263" s="36"/>
      <c r="M263" s="36"/>
      <c r="N263" s="38">
        <f>+M263-O263</f>
        <v>0</v>
      </c>
      <c r="O263" s="36"/>
      <c r="P263" s="39"/>
      <c r="Q263" s="39"/>
      <c r="R263" s="40">
        <f>SUM(P263:Q263)</f>
        <v>0</v>
      </c>
      <c r="S263" s="39"/>
      <c r="T263" s="41"/>
    </row>
    <row r="264" spans="2:20" ht="15.6" x14ac:dyDescent="0.3">
      <c r="B264" s="28"/>
      <c r="C264" s="28"/>
      <c r="D264" s="28"/>
      <c r="E264" s="28"/>
      <c r="F264" s="28"/>
      <c r="G264" s="43"/>
      <c r="H264" s="44"/>
      <c r="I264" s="30"/>
      <c r="J264" s="30"/>
      <c r="K264" s="30"/>
      <c r="L264" s="30"/>
      <c r="M264" s="30"/>
      <c r="N264" s="45"/>
      <c r="O264" s="30"/>
      <c r="P264" s="30"/>
      <c r="Q264" s="30"/>
      <c r="R264" s="45"/>
      <c r="S264" s="30"/>
      <c r="T264" s="30"/>
    </row>
    <row r="265" spans="2:20" ht="15.6" x14ac:dyDescent="0.3">
      <c r="B265" s="47">
        <f>COUNT(B253:B264)</f>
        <v>9</v>
      </c>
      <c r="C265" s="47"/>
      <c r="D265" s="48"/>
      <c r="E265" s="48"/>
      <c r="F265" s="48">
        <f>SUM(F253:F264)</f>
        <v>3001.3488399999997</v>
      </c>
      <c r="G265" s="49"/>
      <c r="H265" s="50">
        <f>SUM(H253:H264)</f>
        <v>300.134884</v>
      </c>
      <c r="I265" s="48">
        <f>SUM(I253:I264)</f>
        <v>9479.0892539999986</v>
      </c>
      <c r="J265" s="48">
        <f>SUM(J253:J264)</f>
        <v>22522.719061999996</v>
      </c>
      <c r="K265" s="48">
        <f>SUM(K253:K264)</f>
        <v>34234.311410000002</v>
      </c>
      <c r="L265" s="48">
        <f>SUM(L253:L264)</f>
        <v>710.19141500000001</v>
      </c>
      <c r="M265" s="48">
        <f>SUM(M253:M264)</f>
        <v>118.14089100000001</v>
      </c>
      <c r="N265" s="51">
        <f>SUM(N253:N264)</f>
        <v>231.47414000000001</v>
      </c>
      <c r="O265" s="48">
        <f>SUM(O253:O264)</f>
        <v>-113.333249</v>
      </c>
      <c r="P265" s="52"/>
      <c r="Q265" s="52"/>
      <c r="R265" s="53"/>
      <c r="S265" s="52"/>
      <c r="T265" s="54">
        <f>SUM(T253:T264)</f>
        <v>7765</v>
      </c>
    </row>
    <row r="266" spans="2:20" ht="15.6" x14ac:dyDescent="0.3">
      <c r="B266" s="28"/>
      <c r="C266" s="28"/>
      <c r="D266" s="28"/>
      <c r="E266" s="28"/>
      <c r="F266" s="28"/>
      <c r="G266" s="43"/>
      <c r="H266" s="44"/>
      <c r="I266" s="30"/>
      <c r="J266" s="30"/>
      <c r="K266" s="30"/>
      <c r="L266" s="30"/>
      <c r="M266" s="30"/>
      <c r="N266" s="45"/>
      <c r="O266" s="30"/>
      <c r="P266" s="30"/>
      <c r="Q266" s="30"/>
      <c r="R266" s="45"/>
      <c r="S266" s="30"/>
      <c r="T266" s="30"/>
    </row>
    <row r="267" spans="2:20" ht="15.6" x14ac:dyDescent="0.3">
      <c r="B267" s="28"/>
      <c r="C267" s="28"/>
      <c r="D267" s="28"/>
      <c r="E267" s="28"/>
      <c r="F267" s="28"/>
      <c r="G267" s="43"/>
      <c r="H267" s="44"/>
      <c r="I267" s="30"/>
      <c r="J267" s="30"/>
      <c r="K267" s="30"/>
      <c r="L267" s="30"/>
      <c r="M267" s="30"/>
      <c r="N267" s="45"/>
      <c r="O267" s="30"/>
      <c r="P267" s="30"/>
      <c r="Q267" s="30"/>
      <c r="R267" s="45"/>
      <c r="S267" s="30"/>
      <c r="T267" s="30"/>
    </row>
    <row r="268" spans="2:20" ht="18" x14ac:dyDescent="0.35">
      <c r="B268" s="28"/>
      <c r="C268" s="32">
        <v>10</v>
      </c>
      <c r="D268" s="32" t="s">
        <v>418</v>
      </c>
      <c r="E268" s="61"/>
      <c r="F268" s="61"/>
      <c r="G268" s="43"/>
      <c r="H268" s="44"/>
      <c r="I268" s="30"/>
      <c r="J268" s="30"/>
      <c r="K268" s="30"/>
      <c r="L268" s="30"/>
      <c r="M268" s="30"/>
      <c r="N268" s="45"/>
      <c r="O268" s="30"/>
      <c r="P268" s="30"/>
      <c r="Q268" s="30"/>
      <c r="R268" s="45"/>
      <c r="S268" s="30"/>
      <c r="T268" s="30"/>
    </row>
    <row r="269" spans="2:20" ht="15.6" x14ac:dyDescent="0.3">
      <c r="B269" s="28"/>
      <c r="C269" s="28"/>
      <c r="D269" s="28"/>
      <c r="E269" s="28"/>
      <c r="F269" s="28"/>
      <c r="G269" s="43"/>
      <c r="H269" s="44"/>
      <c r="I269" s="30"/>
      <c r="J269" s="30"/>
      <c r="K269" s="30"/>
      <c r="L269" s="30"/>
      <c r="M269" s="30"/>
      <c r="N269" s="45"/>
      <c r="O269" s="30"/>
      <c r="P269" s="30"/>
      <c r="Q269" s="30"/>
      <c r="R269" s="45"/>
      <c r="S269" s="30"/>
      <c r="T269" s="30"/>
    </row>
    <row r="270" spans="2:20" ht="15.6" x14ac:dyDescent="0.3">
      <c r="B270" s="60">
        <v>1</v>
      </c>
      <c r="C270" s="60" t="s">
        <v>419</v>
      </c>
      <c r="D270" s="34" t="s">
        <v>420</v>
      </c>
      <c r="E270" s="35">
        <v>45838</v>
      </c>
      <c r="F270" s="36">
        <v>840</v>
      </c>
      <c r="G270" s="37">
        <v>10</v>
      </c>
      <c r="H270" s="38">
        <f t="shared" ref="H270:H304" si="37">+F270/G270</f>
        <v>84</v>
      </c>
      <c r="I270" s="36">
        <v>7669.5810000000001</v>
      </c>
      <c r="J270" s="36">
        <v>24485.100999999999</v>
      </c>
      <c r="K270" s="36">
        <v>18407.080999999998</v>
      </c>
      <c r="L270" s="36">
        <v>706.79200000000003</v>
      </c>
      <c r="M270" s="36">
        <v>-451.09899999999999</v>
      </c>
      <c r="N270" s="38">
        <f t="shared" ref="N270:N304" si="38">+M270-O270</f>
        <v>0</v>
      </c>
      <c r="O270" s="36">
        <v>-451.09899999999999</v>
      </c>
      <c r="P270" s="39">
        <v>0</v>
      </c>
      <c r="Q270" s="39">
        <v>0</v>
      </c>
      <c r="R270" s="40">
        <f t="shared" ref="R270:R304" si="39">SUM(P270:Q270)</f>
        <v>0</v>
      </c>
      <c r="S270" s="39"/>
      <c r="T270" s="41">
        <v>1175</v>
      </c>
    </row>
    <row r="271" spans="2:20" ht="15.6" x14ac:dyDescent="0.3">
      <c r="B271" s="60">
        <f>+B270+1</f>
        <v>2</v>
      </c>
      <c r="C271" s="60" t="s">
        <v>421</v>
      </c>
      <c r="D271" s="34" t="s">
        <v>422</v>
      </c>
      <c r="E271" s="35">
        <v>45838</v>
      </c>
      <c r="F271" s="36">
        <v>84.715350000000001</v>
      </c>
      <c r="G271" s="37">
        <v>10</v>
      </c>
      <c r="H271" s="38">
        <f t="shared" si="37"/>
        <v>8.4715349999999994</v>
      </c>
      <c r="I271" s="36">
        <v>2392.7079220000001</v>
      </c>
      <c r="J271" s="36">
        <v>4455.8864729999996</v>
      </c>
      <c r="K271" s="36">
        <v>5626.431525</v>
      </c>
      <c r="L271" s="36">
        <v>161.36508699999999</v>
      </c>
      <c r="M271" s="36">
        <v>104.485266</v>
      </c>
      <c r="N271" s="38">
        <f t="shared" si="38"/>
        <v>10.287509</v>
      </c>
      <c r="O271" s="36">
        <v>94.197756999999996</v>
      </c>
      <c r="P271" s="39">
        <v>15</v>
      </c>
      <c r="Q271" s="39">
        <v>0</v>
      </c>
      <c r="R271" s="40">
        <f t="shared" si="39"/>
        <v>15</v>
      </c>
      <c r="S271" s="39"/>
      <c r="T271" s="41">
        <v>651</v>
      </c>
    </row>
    <row r="272" spans="2:20" ht="15.6" x14ac:dyDescent="0.3">
      <c r="B272" s="60">
        <f t="shared" ref="B272:B304" si="40">+B271+1</f>
        <v>3</v>
      </c>
      <c r="C272" s="60" t="s">
        <v>423</v>
      </c>
      <c r="D272" s="34" t="s">
        <v>424</v>
      </c>
      <c r="E272" s="35">
        <v>45838</v>
      </c>
      <c r="F272" s="36">
        <v>4854.0973100000001</v>
      </c>
      <c r="G272" s="37">
        <v>10</v>
      </c>
      <c r="H272" s="38">
        <f t="shared" si="37"/>
        <v>485.40973100000002</v>
      </c>
      <c r="I272" s="36">
        <v>14804.028716000001</v>
      </c>
      <c r="J272" s="36">
        <v>29223.516970000001</v>
      </c>
      <c r="K272" s="36">
        <v>40605.013231999998</v>
      </c>
      <c r="L272" s="36">
        <v>1131.2761519999999</v>
      </c>
      <c r="M272" s="36">
        <v>945.04439600000001</v>
      </c>
      <c r="N272" s="38">
        <f t="shared" si="38"/>
        <v>243.24154199999998</v>
      </c>
      <c r="O272" s="36">
        <v>701.80285400000002</v>
      </c>
      <c r="P272" s="39">
        <v>0</v>
      </c>
      <c r="Q272" s="39">
        <v>0</v>
      </c>
      <c r="R272" s="40">
        <f t="shared" si="39"/>
        <v>0</v>
      </c>
      <c r="S272" s="86"/>
      <c r="T272" s="41">
        <v>6000</v>
      </c>
    </row>
    <row r="273" spans="2:20" ht="15.6" x14ac:dyDescent="0.3">
      <c r="B273" s="60">
        <f t="shared" si="40"/>
        <v>4</v>
      </c>
      <c r="C273" s="60" t="s">
        <v>425</v>
      </c>
      <c r="D273" s="34" t="s">
        <v>426</v>
      </c>
      <c r="E273" s="35">
        <v>45838</v>
      </c>
      <c r="F273" s="36">
        <v>96.6</v>
      </c>
      <c r="G273" s="37">
        <v>10</v>
      </c>
      <c r="H273" s="38">
        <f t="shared" si="37"/>
        <v>9.66</v>
      </c>
      <c r="I273" s="36">
        <v>710.99699999999996</v>
      </c>
      <c r="J273" s="36">
        <v>1958.2159999999999</v>
      </c>
      <c r="K273" s="36">
        <v>4492.4399999999996</v>
      </c>
      <c r="L273" s="36">
        <v>49.582000000000001</v>
      </c>
      <c r="M273" s="36">
        <v>-122.14700000000001</v>
      </c>
      <c r="N273" s="38">
        <f t="shared" si="38"/>
        <v>-19.14</v>
      </c>
      <c r="O273" s="36">
        <v>-103.00700000000001</v>
      </c>
      <c r="P273" s="39">
        <v>0</v>
      </c>
      <c r="Q273" s="39">
        <v>0</v>
      </c>
      <c r="R273" s="40">
        <f t="shared" si="39"/>
        <v>0</v>
      </c>
      <c r="S273" s="39"/>
      <c r="T273" s="41">
        <v>975</v>
      </c>
    </row>
    <row r="274" spans="2:20" ht="15.6" x14ac:dyDescent="0.3">
      <c r="B274" s="60">
        <f t="shared" si="40"/>
        <v>5</v>
      </c>
      <c r="C274" s="60" t="s">
        <v>427</v>
      </c>
      <c r="D274" s="34" t="s">
        <v>428</v>
      </c>
      <c r="E274" s="35">
        <v>45838</v>
      </c>
      <c r="F274" s="36">
        <v>30.40964</v>
      </c>
      <c r="G274" s="37">
        <v>10</v>
      </c>
      <c r="H274" s="38">
        <f t="shared" si="37"/>
        <v>3.0409639999999998</v>
      </c>
      <c r="I274" s="36">
        <v>10962.155477</v>
      </c>
      <c r="J274" s="36">
        <v>26925.012629000001</v>
      </c>
      <c r="K274" s="36">
        <v>32907.546737999997</v>
      </c>
      <c r="L274" s="36">
        <v>1160.3082710000001</v>
      </c>
      <c r="M274" s="36">
        <v>111.921876</v>
      </c>
      <c r="N274" s="38">
        <f t="shared" si="38"/>
        <v>-2.3071769999999958</v>
      </c>
      <c r="O274" s="36">
        <v>114.22905299999999</v>
      </c>
      <c r="P274" s="39">
        <v>0</v>
      </c>
      <c r="Q274" s="39">
        <v>0</v>
      </c>
      <c r="R274" s="40">
        <f t="shared" si="39"/>
        <v>0</v>
      </c>
      <c r="S274" s="39"/>
      <c r="T274" s="41">
        <v>455</v>
      </c>
    </row>
    <row r="275" spans="2:20" ht="15.6" x14ac:dyDescent="0.3">
      <c r="B275" s="60">
        <f t="shared" si="40"/>
        <v>6</v>
      </c>
      <c r="C275" s="60" t="s">
        <v>429</v>
      </c>
      <c r="D275" s="34" t="s">
        <v>430</v>
      </c>
      <c r="E275" s="35">
        <v>45838</v>
      </c>
      <c r="F275" s="36">
        <v>64.319999999999993</v>
      </c>
      <c r="G275" s="37">
        <v>10</v>
      </c>
      <c r="H275" s="38">
        <f t="shared" si="37"/>
        <v>6.4319999999999995</v>
      </c>
      <c r="I275" s="36">
        <v>7960.4285579999996</v>
      </c>
      <c r="J275" s="36">
        <v>25271.189934999999</v>
      </c>
      <c r="K275" s="36">
        <v>30433.100979999999</v>
      </c>
      <c r="L275" s="36">
        <v>1248.1995360000001</v>
      </c>
      <c r="M275" s="36">
        <v>-96.881597999999997</v>
      </c>
      <c r="N275" s="38">
        <f t="shared" si="38"/>
        <v>0</v>
      </c>
      <c r="O275" s="36">
        <v>-96.881597999999997</v>
      </c>
      <c r="P275" s="39">
        <v>0</v>
      </c>
      <c r="Q275" s="39">
        <v>0</v>
      </c>
      <c r="R275" s="40">
        <f t="shared" si="39"/>
        <v>0</v>
      </c>
      <c r="S275" s="39"/>
      <c r="T275" s="41">
        <v>714</v>
      </c>
    </row>
    <row r="276" spans="2:20" ht="15.6" x14ac:dyDescent="0.3">
      <c r="B276" s="60">
        <f t="shared" si="40"/>
        <v>7</v>
      </c>
      <c r="C276" s="60" t="s">
        <v>431</v>
      </c>
      <c r="D276" s="34" t="s">
        <v>432</v>
      </c>
      <c r="E276" s="35">
        <v>45838</v>
      </c>
      <c r="F276" s="36">
        <v>1000</v>
      </c>
      <c r="G276" s="37">
        <v>10</v>
      </c>
      <c r="H276" s="38">
        <f t="shared" si="37"/>
        <v>100</v>
      </c>
      <c r="I276" s="36">
        <v>12736.73</v>
      </c>
      <c r="J276" s="36">
        <v>26271.46</v>
      </c>
      <c r="K276" s="36">
        <v>19003.674999999999</v>
      </c>
      <c r="L276" s="36">
        <v>1165.4100000000001</v>
      </c>
      <c r="M276" s="36">
        <v>-584.53599999999994</v>
      </c>
      <c r="N276" s="38">
        <f t="shared" si="38"/>
        <v>-297.10499999999996</v>
      </c>
      <c r="O276" s="36">
        <v>-287.43099999999998</v>
      </c>
      <c r="P276" s="39">
        <v>0</v>
      </c>
      <c r="Q276" s="39">
        <v>0</v>
      </c>
      <c r="R276" s="40">
        <f t="shared" si="39"/>
        <v>0</v>
      </c>
      <c r="S276" s="39"/>
      <c r="T276" s="41">
        <v>2694</v>
      </c>
    </row>
    <row r="277" spans="2:20" ht="15.6" x14ac:dyDescent="0.3">
      <c r="B277" s="60">
        <f t="shared" si="40"/>
        <v>8</v>
      </c>
      <c r="C277" s="60" t="s">
        <v>433</v>
      </c>
      <c r="D277" s="34" t="s">
        <v>434</v>
      </c>
      <c r="E277" s="35">
        <v>45838</v>
      </c>
      <c r="F277" s="36">
        <v>1150</v>
      </c>
      <c r="G277" s="37">
        <v>10</v>
      </c>
      <c r="H277" s="38">
        <f t="shared" si="37"/>
        <v>115</v>
      </c>
      <c r="I277" s="36">
        <v>-552.632069</v>
      </c>
      <c r="J277" s="36">
        <v>10270.170548</v>
      </c>
      <c r="K277" s="36">
        <v>2389.5665979999999</v>
      </c>
      <c r="L277" s="36">
        <v>211.49350999999999</v>
      </c>
      <c r="M277" s="36">
        <v>-620.62556099999995</v>
      </c>
      <c r="N277" s="38">
        <f t="shared" si="38"/>
        <v>2.2690210000000661</v>
      </c>
      <c r="O277" s="36">
        <v>-622.89458200000001</v>
      </c>
      <c r="P277" s="39">
        <v>0</v>
      </c>
      <c r="Q277" s="39">
        <v>0</v>
      </c>
      <c r="R277" s="40">
        <f t="shared" ref="R277" si="41">SUM(P277:Q277)</f>
        <v>0</v>
      </c>
      <c r="S277" s="39"/>
      <c r="T277" s="41">
        <v>1754</v>
      </c>
    </row>
    <row r="278" spans="2:20" ht="15.6" x14ac:dyDescent="0.3">
      <c r="B278" s="60">
        <f t="shared" si="40"/>
        <v>9</v>
      </c>
      <c r="C278" s="60" t="s">
        <v>435</v>
      </c>
      <c r="D278" s="34" t="s">
        <v>436</v>
      </c>
      <c r="E278" s="35">
        <v>45838</v>
      </c>
      <c r="F278" s="36">
        <v>100</v>
      </c>
      <c r="G278" s="37">
        <v>10</v>
      </c>
      <c r="H278" s="38">
        <f t="shared" si="37"/>
        <v>10</v>
      </c>
      <c r="I278" s="36">
        <v>12170.796934</v>
      </c>
      <c r="J278" s="36">
        <v>39737.012734000004</v>
      </c>
      <c r="K278" s="36">
        <v>46203.552790000002</v>
      </c>
      <c r="L278" s="36">
        <v>1513.1443750000001</v>
      </c>
      <c r="M278" s="36">
        <v>-265.38036899999997</v>
      </c>
      <c r="N278" s="38">
        <f t="shared" si="38"/>
        <v>3.8867160000000354</v>
      </c>
      <c r="O278" s="36">
        <v>-269.26708500000001</v>
      </c>
      <c r="P278" s="39">
        <v>0</v>
      </c>
      <c r="Q278" s="39">
        <v>0</v>
      </c>
      <c r="R278" s="40">
        <f t="shared" si="39"/>
        <v>0</v>
      </c>
      <c r="S278" s="39"/>
      <c r="T278" s="41">
        <v>828</v>
      </c>
    </row>
    <row r="279" spans="2:20" ht="15.6" x14ac:dyDescent="0.3">
      <c r="B279" s="60">
        <f t="shared" si="40"/>
        <v>10</v>
      </c>
      <c r="C279" s="60" t="s">
        <v>437</v>
      </c>
      <c r="D279" s="34" t="s">
        <v>438</v>
      </c>
      <c r="E279" s="35">
        <v>45838</v>
      </c>
      <c r="F279" s="36">
        <v>3994.0902599999999</v>
      </c>
      <c r="G279" s="37">
        <v>10</v>
      </c>
      <c r="H279" s="38">
        <f t="shared" si="37"/>
        <v>399.40902599999998</v>
      </c>
      <c r="I279" s="36">
        <v>33756.163</v>
      </c>
      <c r="J279" s="36">
        <v>83817.014999999999</v>
      </c>
      <c r="K279" s="36">
        <v>66110.531000000003</v>
      </c>
      <c r="L279" s="36">
        <v>3068.248</v>
      </c>
      <c r="M279" s="36">
        <v>-46.942999999999998</v>
      </c>
      <c r="N279" s="38">
        <f t="shared" si="38"/>
        <v>-145.96600000000001</v>
      </c>
      <c r="O279" s="36">
        <v>99.022999999999996</v>
      </c>
      <c r="P279" s="39">
        <v>0</v>
      </c>
      <c r="Q279" s="39">
        <v>0</v>
      </c>
      <c r="R279" s="40">
        <f t="shared" si="39"/>
        <v>0</v>
      </c>
      <c r="S279" s="39"/>
      <c r="T279" s="41">
        <v>1285</v>
      </c>
    </row>
    <row r="280" spans="2:20" ht="15.6" x14ac:dyDescent="0.3">
      <c r="B280" s="60">
        <f t="shared" si="40"/>
        <v>11</v>
      </c>
      <c r="C280" s="60" t="s">
        <v>439</v>
      </c>
      <c r="D280" s="46" t="s">
        <v>440</v>
      </c>
      <c r="E280" s="35">
        <v>45838</v>
      </c>
      <c r="F280" s="36">
        <v>300</v>
      </c>
      <c r="G280" s="37">
        <v>10</v>
      </c>
      <c r="H280" s="38">
        <f t="shared" si="37"/>
        <v>30</v>
      </c>
      <c r="I280" s="36">
        <v>46935.416137</v>
      </c>
      <c r="J280" s="36">
        <v>115453.754611</v>
      </c>
      <c r="K280" s="36">
        <v>90002.392848999996</v>
      </c>
      <c r="L280" s="36">
        <v>5276.2303149999998</v>
      </c>
      <c r="M280" s="36">
        <v>404.27948800000001</v>
      </c>
      <c r="N280" s="38">
        <f t="shared" si="38"/>
        <v>287.14202899999998</v>
      </c>
      <c r="O280" s="36">
        <v>117.13745900000001</v>
      </c>
      <c r="P280" s="39">
        <v>0</v>
      </c>
      <c r="Q280" s="39">
        <v>0</v>
      </c>
      <c r="R280" s="40">
        <f t="shared" si="39"/>
        <v>0</v>
      </c>
      <c r="S280" s="39"/>
      <c r="T280" s="41">
        <v>1491</v>
      </c>
    </row>
    <row r="281" spans="2:20" ht="15.6" x14ac:dyDescent="0.3">
      <c r="B281" s="60">
        <f t="shared" si="40"/>
        <v>12</v>
      </c>
      <c r="C281" s="60" t="s">
        <v>441</v>
      </c>
      <c r="D281" s="34" t="s">
        <v>442</v>
      </c>
      <c r="E281" s="35">
        <v>45838</v>
      </c>
      <c r="F281" s="36">
        <v>7400.59458</v>
      </c>
      <c r="G281" s="37">
        <v>10</v>
      </c>
      <c r="H281" s="38">
        <f t="shared" si="37"/>
        <v>740.05945799999995</v>
      </c>
      <c r="I281" s="36">
        <v>48852.936999999998</v>
      </c>
      <c r="J281" s="36">
        <v>151094.84899999999</v>
      </c>
      <c r="K281" s="36">
        <v>157904.71900000001</v>
      </c>
      <c r="L281" s="36">
        <v>6075.6289999999999</v>
      </c>
      <c r="M281" s="36">
        <v>3971.5169999999998</v>
      </c>
      <c r="N281" s="38">
        <f t="shared" si="38"/>
        <v>-51.257000000000062</v>
      </c>
      <c r="O281" s="36">
        <v>4022.7739999999999</v>
      </c>
      <c r="P281" s="39">
        <v>0</v>
      </c>
      <c r="Q281" s="39">
        <v>0</v>
      </c>
      <c r="R281" s="40">
        <f t="shared" si="39"/>
        <v>0</v>
      </c>
      <c r="S281" s="39"/>
      <c r="T281" s="41">
        <v>7010</v>
      </c>
    </row>
    <row r="282" spans="2:20" ht="15.6" x14ac:dyDescent="0.3">
      <c r="B282" s="60">
        <f t="shared" si="40"/>
        <v>13</v>
      </c>
      <c r="C282" s="60" t="s">
        <v>443</v>
      </c>
      <c r="D282" s="34" t="s">
        <v>444</v>
      </c>
      <c r="E282" s="35">
        <v>45838</v>
      </c>
      <c r="F282" s="36">
        <v>326.35599999999999</v>
      </c>
      <c r="G282" s="37">
        <v>10</v>
      </c>
      <c r="H282" s="38">
        <f t="shared" si="37"/>
        <v>32.635599999999997</v>
      </c>
      <c r="I282" s="36">
        <v>4590.5729540000002</v>
      </c>
      <c r="J282" s="36">
        <v>4645.723978</v>
      </c>
      <c r="K282" s="36">
        <v>594.03145600000005</v>
      </c>
      <c r="L282" s="36">
        <v>4.4281969999999999</v>
      </c>
      <c r="M282" s="36">
        <v>-375.17341199999998</v>
      </c>
      <c r="N282" s="38">
        <f t="shared" si="38"/>
        <v>1.6711500000000115</v>
      </c>
      <c r="O282" s="36">
        <v>-376.844562</v>
      </c>
      <c r="P282" s="39">
        <v>0</v>
      </c>
      <c r="Q282" s="39">
        <v>0</v>
      </c>
      <c r="R282" s="40">
        <f t="shared" si="39"/>
        <v>0</v>
      </c>
      <c r="S282" s="39"/>
      <c r="T282" s="41">
        <v>4721</v>
      </c>
    </row>
    <row r="283" spans="2:20" ht="15.6" x14ac:dyDescent="0.3">
      <c r="B283" s="60">
        <f t="shared" si="40"/>
        <v>14</v>
      </c>
      <c r="C283" s="60" t="s">
        <v>445</v>
      </c>
      <c r="D283" s="46" t="s">
        <v>446</v>
      </c>
      <c r="E283" s="35">
        <v>45838</v>
      </c>
      <c r="F283" s="36">
        <v>129.96304000000001</v>
      </c>
      <c r="G283" s="37">
        <v>10</v>
      </c>
      <c r="H283" s="38">
        <f t="shared" si="37"/>
        <v>12.996304</v>
      </c>
      <c r="I283" s="36">
        <v>419.18174900000002</v>
      </c>
      <c r="J283" s="36">
        <v>691.95571800000005</v>
      </c>
      <c r="K283" s="36">
        <v>553.56176300000004</v>
      </c>
      <c r="L283" s="36">
        <v>27.295862</v>
      </c>
      <c r="M283" s="36">
        <v>13.857875</v>
      </c>
      <c r="N283" s="38">
        <f t="shared" si="38"/>
        <v>0</v>
      </c>
      <c r="O283" s="36">
        <v>13.857875</v>
      </c>
      <c r="P283" s="39">
        <v>0</v>
      </c>
      <c r="Q283" s="39">
        <v>0</v>
      </c>
      <c r="R283" s="40">
        <f t="shared" si="39"/>
        <v>0</v>
      </c>
      <c r="S283" s="39"/>
      <c r="T283" s="41">
        <v>992</v>
      </c>
    </row>
    <row r="284" spans="2:20" ht="15.6" x14ac:dyDescent="0.3">
      <c r="B284" s="60">
        <f t="shared" si="40"/>
        <v>15</v>
      </c>
      <c r="C284" s="60" t="s">
        <v>447</v>
      </c>
      <c r="D284" s="34" t="s">
        <v>448</v>
      </c>
      <c r="E284" s="35">
        <v>45838</v>
      </c>
      <c r="F284" s="36">
        <v>12</v>
      </c>
      <c r="G284" s="37">
        <v>10</v>
      </c>
      <c r="H284" s="38">
        <f t="shared" si="37"/>
        <v>1.2</v>
      </c>
      <c r="I284" s="36">
        <v>640.71134900000004</v>
      </c>
      <c r="J284" s="36">
        <v>657.28725799999995</v>
      </c>
      <c r="K284" s="36">
        <v>39.292403999999998</v>
      </c>
      <c r="L284" s="36">
        <v>2.0736999999999998E-2</v>
      </c>
      <c r="M284" s="36">
        <v>62.059891</v>
      </c>
      <c r="N284" s="38">
        <f t="shared" si="38"/>
        <v>9.1657399999999996</v>
      </c>
      <c r="O284" s="36">
        <v>52.894151000000001</v>
      </c>
      <c r="P284" s="39">
        <v>25</v>
      </c>
      <c r="Q284" s="39">
        <v>0</v>
      </c>
      <c r="R284" s="40">
        <f t="shared" si="39"/>
        <v>25</v>
      </c>
      <c r="S284" s="39"/>
      <c r="T284" s="41">
        <v>1108</v>
      </c>
    </row>
    <row r="285" spans="2:20" ht="15.6" x14ac:dyDescent="0.3">
      <c r="B285" s="60">
        <f t="shared" si="40"/>
        <v>16</v>
      </c>
      <c r="C285" s="60" t="s">
        <v>449</v>
      </c>
      <c r="D285" s="34" t="s">
        <v>450</v>
      </c>
      <c r="E285" s="35">
        <v>45838</v>
      </c>
      <c r="F285" s="36">
        <v>14017.09468</v>
      </c>
      <c r="G285" s="37">
        <v>10</v>
      </c>
      <c r="H285" s="38">
        <f t="shared" si="37"/>
        <v>1401.709468</v>
      </c>
      <c r="I285" s="36">
        <v>55223.035000000003</v>
      </c>
      <c r="J285" s="36">
        <v>176726.65599999999</v>
      </c>
      <c r="K285" s="36">
        <v>173381.533</v>
      </c>
      <c r="L285" s="36">
        <v>9533.3639999999996</v>
      </c>
      <c r="M285" s="36">
        <v>8808.1290000000008</v>
      </c>
      <c r="N285" s="38">
        <f t="shared" si="38"/>
        <v>3431.5300000000007</v>
      </c>
      <c r="O285" s="36">
        <v>5376.5990000000002</v>
      </c>
      <c r="P285" s="39">
        <v>10</v>
      </c>
      <c r="Q285" s="39">
        <v>0</v>
      </c>
      <c r="R285" s="40">
        <f t="shared" si="39"/>
        <v>10</v>
      </c>
      <c r="S285" s="39"/>
      <c r="T285" s="41">
        <v>10627</v>
      </c>
    </row>
    <row r="286" spans="2:20" ht="15.6" x14ac:dyDescent="0.3">
      <c r="B286" s="60">
        <f t="shared" si="40"/>
        <v>17</v>
      </c>
      <c r="C286" s="60" t="s">
        <v>451</v>
      </c>
      <c r="D286" s="34" t="s">
        <v>452</v>
      </c>
      <c r="E286" s="35">
        <v>45838</v>
      </c>
      <c r="F286" s="36">
        <v>96.75</v>
      </c>
      <c r="G286" s="37">
        <v>10</v>
      </c>
      <c r="H286" s="38">
        <f t="shared" si="37"/>
        <v>9.6750000000000007</v>
      </c>
      <c r="I286" s="36">
        <v>194.40388799999999</v>
      </c>
      <c r="J286" s="36">
        <v>811.36473799999999</v>
      </c>
      <c r="K286" s="36">
        <v>1210.573713</v>
      </c>
      <c r="L286" s="36">
        <v>29.438849999999999</v>
      </c>
      <c r="M286" s="36">
        <v>48.293343999999998</v>
      </c>
      <c r="N286" s="38">
        <f t="shared" si="38"/>
        <v>17.434781999999998</v>
      </c>
      <c r="O286" s="36">
        <v>30.858561999999999</v>
      </c>
      <c r="P286" s="39">
        <v>10</v>
      </c>
      <c r="Q286" s="39">
        <v>0</v>
      </c>
      <c r="R286" s="40">
        <f t="shared" si="39"/>
        <v>10</v>
      </c>
      <c r="S286" s="39"/>
      <c r="T286" s="41">
        <v>1393</v>
      </c>
    </row>
    <row r="287" spans="2:20" ht="15.6" x14ac:dyDescent="0.3">
      <c r="B287" s="60">
        <f t="shared" si="40"/>
        <v>18</v>
      </c>
      <c r="C287" s="60" t="s">
        <v>453</v>
      </c>
      <c r="D287" s="34" t="s">
        <v>454</v>
      </c>
      <c r="E287" s="35">
        <v>45838</v>
      </c>
      <c r="F287" s="36">
        <v>12.275</v>
      </c>
      <c r="G287" s="37">
        <v>10</v>
      </c>
      <c r="H287" s="38">
        <f t="shared" si="37"/>
        <v>1.2275</v>
      </c>
      <c r="I287" s="36">
        <v>1250.9510339999999</v>
      </c>
      <c r="J287" s="36">
        <v>1300.71164</v>
      </c>
      <c r="K287" s="36">
        <v>20.684000000000001</v>
      </c>
      <c r="L287" s="36">
        <v>2.7880000000000001E-3</v>
      </c>
      <c r="M287" s="36">
        <v>-7.1046829999999996</v>
      </c>
      <c r="N287" s="38">
        <f t="shared" si="38"/>
        <v>-1.2794949999999998</v>
      </c>
      <c r="O287" s="36">
        <v>-5.8251879999999998</v>
      </c>
      <c r="P287" s="39">
        <v>0</v>
      </c>
      <c r="Q287" s="39">
        <v>0</v>
      </c>
      <c r="R287" s="40">
        <f t="shared" si="39"/>
        <v>0</v>
      </c>
      <c r="S287" s="39"/>
      <c r="T287" s="41">
        <v>662</v>
      </c>
    </row>
    <row r="288" spans="2:20" ht="15.6" x14ac:dyDescent="0.3">
      <c r="B288" s="60">
        <f t="shared" si="40"/>
        <v>19</v>
      </c>
      <c r="C288" s="60" t="s">
        <v>455</v>
      </c>
      <c r="D288" s="34" t="s">
        <v>456</v>
      </c>
      <c r="E288" s="35">
        <v>45838</v>
      </c>
      <c r="F288" s="36">
        <v>509.11011000000002</v>
      </c>
      <c r="G288" s="37">
        <v>1</v>
      </c>
      <c r="H288" s="38">
        <f t="shared" si="37"/>
        <v>509.11011000000002</v>
      </c>
      <c r="I288" s="36">
        <v>10272.430031</v>
      </c>
      <c r="J288" s="36">
        <v>26484.614262999999</v>
      </c>
      <c r="K288" s="36">
        <v>27137.277934999998</v>
      </c>
      <c r="L288" s="36">
        <v>1178.3880839999999</v>
      </c>
      <c r="M288" s="36">
        <v>57.713963</v>
      </c>
      <c r="N288" s="38">
        <f t="shared" si="38"/>
        <v>-175.79855499999999</v>
      </c>
      <c r="O288" s="36">
        <v>233.512518</v>
      </c>
      <c r="P288" s="39">
        <v>0</v>
      </c>
      <c r="Q288" s="39">
        <v>0</v>
      </c>
      <c r="R288" s="40">
        <f t="shared" si="39"/>
        <v>0</v>
      </c>
      <c r="S288" s="39"/>
      <c r="T288" s="41">
        <v>1423</v>
      </c>
    </row>
    <row r="289" spans="2:20" ht="15.6" x14ac:dyDescent="0.3">
      <c r="B289" s="60">
        <f t="shared" si="40"/>
        <v>20</v>
      </c>
      <c r="C289" s="60" t="s">
        <v>457</v>
      </c>
      <c r="D289" s="34" t="s">
        <v>458</v>
      </c>
      <c r="E289" s="35">
        <v>45838</v>
      </c>
      <c r="F289" s="36">
        <v>303.02542999999997</v>
      </c>
      <c r="G289" s="37">
        <v>10</v>
      </c>
      <c r="H289" s="38">
        <f t="shared" si="37"/>
        <v>30.302542999999996</v>
      </c>
      <c r="I289" s="36">
        <v>1106.9476030000001</v>
      </c>
      <c r="J289" s="36">
        <v>1166.2442530000001</v>
      </c>
      <c r="K289" s="36">
        <v>85.829232000000005</v>
      </c>
      <c r="L289" s="36">
        <v>1.1226E-2</v>
      </c>
      <c r="M289" s="36">
        <v>87.933412000000004</v>
      </c>
      <c r="N289" s="38">
        <f t="shared" si="38"/>
        <v>13.51935300000001</v>
      </c>
      <c r="O289" s="36">
        <v>74.414058999999995</v>
      </c>
      <c r="P289" s="39">
        <v>7.5</v>
      </c>
      <c r="Q289" s="39">
        <v>0</v>
      </c>
      <c r="R289" s="40">
        <f t="shared" si="39"/>
        <v>7.5</v>
      </c>
      <c r="S289" s="39"/>
      <c r="T289" s="41">
        <v>2066</v>
      </c>
    </row>
    <row r="290" spans="2:20" ht="15.6" x14ac:dyDescent="0.3">
      <c r="B290" s="60">
        <f t="shared" si="40"/>
        <v>21</v>
      </c>
      <c r="C290" s="60" t="s">
        <v>459</v>
      </c>
      <c r="D290" s="34" t="s">
        <v>460</v>
      </c>
      <c r="E290" s="35">
        <v>45838</v>
      </c>
      <c r="F290" s="36">
        <v>2692.9945600000001</v>
      </c>
      <c r="G290" s="37">
        <v>2</v>
      </c>
      <c r="H290" s="38">
        <f t="shared" si="37"/>
        <v>1346.49728</v>
      </c>
      <c r="I290" s="36">
        <v>31982.371999999999</v>
      </c>
      <c r="J290" s="36">
        <v>54564.353000000003</v>
      </c>
      <c r="K290" s="36">
        <v>59414.125</v>
      </c>
      <c r="L290" s="36">
        <v>2798.79</v>
      </c>
      <c r="M290" s="36">
        <v>4617.5829999999996</v>
      </c>
      <c r="N290" s="38">
        <f t="shared" si="38"/>
        <v>1867.7669999999998</v>
      </c>
      <c r="O290" s="36">
        <v>2749.8159999999998</v>
      </c>
      <c r="P290" s="39">
        <v>20</v>
      </c>
      <c r="Q290" s="39">
        <v>0</v>
      </c>
      <c r="R290" s="40">
        <f t="shared" si="39"/>
        <v>20</v>
      </c>
      <c r="S290" s="39"/>
      <c r="T290" s="41">
        <v>4392</v>
      </c>
    </row>
    <row r="291" spans="2:20" ht="15.6" x14ac:dyDescent="0.3">
      <c r="B291" s="60">
        <f t="shared" si="40"/>
        <v>22</v>
      </c>
      <c r="C291" s="60" t="s">
        <v>461</v>
      </c>
      <c r="D291" s="34" t="s">
        <v>462</v>
      </c>
      <c r="E291" s="35">
        <v>45838</v>
      </c>
      <c r="F291" s="36">
        <v>300</v>
      </c>
      <c r="G291" s="37">
        <v>10</v>
      </c>
      <c r="H291" s="38">
        <f t="shared" si="37"/>
        <v>30</v>
      </c>
      <c r="I291" s="36">
        <v>18453.151405000001</v>
      </c>
      <c r="J291" s="36">
        <v>57346.694832000001</v>
      </c>
      <c r="K291" s="36">
        <v>57071.382737</v>
      </c>
      <c r="L291" s="36">
        <v>4110.5264440000001</v>
      </c>
      <c r="M291" s="36">
        <v>815.62200600000006</v>
      </c>
      <c r="N291" s="38">
        <f t="shared" si="38"/>
        <v>-162.44448</v>
      </c>
      <c r="O291" s="36">
        <v>978.06648600000005</v>
      </c>
      <c r="P291" s="39">
        <v>0</v>
      </c>
      <c r="Q291" s="39">
        <v>0</v>
      </c>
      <c r="R291" s="40">
        <f t="shared" si="39"/>
        <v>0</v>
      </c>
      <c r="S291" s="39"/>
      <c r="T291" s="41">
        <v>122</v>
      </c>
    </row>
    <row r="292" spans="2:20" ht="15.6" x14ac:dyDescent="0.3">
      <c r="B292" s="60">
        <f t="shared" si="40"/>
        <v>23</v>
      </c>
      <c r="C292" s="60" t="s">
        <v>463</v>
      </c>
      <c r="D292" s="34" t="s">
        <v>464</v>
      </c>
      <c r="E292" s="35">
        <v>45838</v>
      </c>
      <c r="F292" s="36">
        <v>675</v>
      </c>
      <c r="G292" s="37">
        <v>10</v>
      </c>
      <c r="H292" s="38">
        <f t="shared" si="37"/>
        <v>67.5</v>
      </c>
      <c r="I292" s="36">
        <v>17139.330999999998</v>
      </c>
      <c r="J292" s="36">
        <v>54310.796999999999</v>
      </c>
      <c r="K292" s="36">
        <v>59201.769</v>
      </c>
      <c r="L292" s="36">
        <v>3858.2260000000001</v>
      </c>
      <c r="M292" s="36">
        <v>393.34100000000001</v>
      </c>
      <c r="N292" s="38">
        <f t="shared" si="38"/>
        <v>262.06200000000001</v>
      </c>
      <c r="O292" s="36">
        <v>131.279</v>
      </c>
      <c r="P292" s="39">
        <v>0</v>
      </c>
      <c r="Q292" s="39">
        <v>0</v>
      </c>
      <c r="R292" s="40">
        <f t="shared" si="39"/>
        <v>0</v>
      </c>
      <c r="S292" s="39"/>
      <c r="T292" s="41">
        <v>1313</v>
      </c>
    </row>
    <row r="293" spans="2:20" ht="15.6" x14ac:dyDescent="0.3">
      <c r="B293" s="60"/>
      <c r="C293" s="60" t="s">
        <v>465</v>
      </c>
      <c r="D293" s="34" t="s">
        <v>466</v>
      </c>
      <c r="E293" s="35">
        <v>45838</v>
      </c>
      <c r="F293" s="36">
        <v>275</v>
      </c>
      <c r="G293" s="37">
        <v>10</v>
      </c>
      <c r="H293" s="38">
        <f>+F293/G293</f>
        <v>27.5</v>
      </c>
      <c r="I293" s="36"/>
      <c r="J293" s="36"/>
      <c r="K293" s="36"/>
      <c r="L293" s="36"/>
      <c r="M293" s="36"/>
      <c r="N293" s="38"/>
      <c r="O293" s="36"/>
      <c r="P293" s="39">
        <v>1.82</v>
      </c>
      <c r="Q293" s="39">
        <v>0</v>
      </c>
      <c r="R293" s="40">
        <f t="shared" si="39"/>
        <v>1.82</v>
      </c>
      <c r="S293" s="39"/>
      <c r="T293" s="41"/>
    </row>
    <row r="294" spans="2:20" ht="15.6" x14ac:dyDescent="0.3">
      <c r="B294" s="60">
        <f>+B292+1</f>
        <v>24</v>
      </c>
      <c r="C294" s="60" t="s">
        <v>467</v>
      </c>
      <c r="D294" s="34" t="s">
        <v>468</v>
      </c>
      <c r="E294" s="35">
        <v>45838</v>
      </c>
      <c r="F294" s="36">
        <v>2401.19029</v>
      </c>
      <c r="G294" s="37">
        <v>10</v>
      </c>
      <c r="H294" s="38">
        <f t="shared" si="37"/>
        <v>240.11902900000001</v>
      </c>
      <c r="I294" s="36">
        <v>21948.881979000002</v>
      </c>
      <c r="J294" s="36">
        <v>76558.155658000003</v>
      </c>
      <c r="K294" s="36">
        <v>85427.485908000002</v>
      </c>
      <c r="L294" s="36">
        <v>4828.6732249999995</v>
      </c>
      <c r="M294" s="36">
        <v>905.19708900000001</v>
      </c>
      <c r="N294" s="38">
        <f t="shared" si="38"/>
        <v>115.99096899999995</v>
      </c>
      <c r="O294" s="36">
        <v>789.20612000000006</v>
      </c>
      <c r="P294" s="39">
        <f>10+10</f>
        <v>20</v>
      </c>
      <c r="Q294" s="39">
        <v>0</v>
      </c>
      <c r="R294" s="40">
        <f t="shared" si="39"/>
        <v>20</v>
      </c>
      <c r="S294" s="39"/>
      <c r="T294" s="41">
        <v>6571</v>
      </c>
    </row>
    <row r="295" spans="2:20" ht="15.6" x14ac:dyDescent="0.3">
      <c r="B295" s="60">
        <f t="shared" si="40"/>
        <v>25</v>
      </c>
      <c r="C295" s="60" t="s">
        <v>469</v>
      </c>
      <c r="D295" s="34" t="s">
        <v>470</v>
      </c>
      <c r="E295" s="35">
        <v>45838</v>
      </c>
      <c r="F295" s="36">
        <v>3515.9984800000002</v>
      </c>
      <c r="G295" s="37">
        <v>10</v>
      </c>
      <c r="H295" s="38">
        <f t="shared" si="37"/>
        <v>351.59984800000001</v>
      </c>
      <c r="I295" s="36">
        <v>144599.674</v>
      </c>
      <c r="J295" s="36">
        <v>264767.95</v>
      </c>
      <c r="K295" s="36">
        <v>178167.14600000001</v>
      </c>
      <c r="L295" s="36">
        <v>8431.9089999999997</v>
      </c>
      <c r="M295" s="36">
        <v>8663.9490000000005</v>
      </c>
      <c r="N295" s="38">
        <f t="shared" si="38"/>
        <v>2650.4300000000003</v>
      </c>
      <c r="O295" s="36">
        <v>6013.5190000000002</v>
      </c>
      <c r="P295" s="39">
        <v>20</v>
      </c>
      <c r="Q295" s="39">
        <v>0</v>
      </c>
      <c r="R295" s="40">
        <f t="shared" si="39"/>
        <v>20</v>
      </c>
      <c r="S295" s="39"/>
      <c r="T295" s="41">
        <v>12593</v>
      </c>
    </row>
    <row r="296" spans="2:20" ht="15.6" x14ac:dyDescent="0.3">
      <c r="B296" s="60">
        <f t="shared" si="40"/>
        <v>26</v>
      </c>
      <c r="C296" s="60" t="s">
        <v>471</v>
      </c>
      <c r="D296" s="34" t="s">
        <v>472</v>
      </c>
      <c r="E296" s="35">
        <v>45838</v>
      </c>
      <c r="F296" s="36">
        <v>492.92599999999999</v>
      </c>
      <c r="G296" s="37">
        <v>10</v>
      </c>
      <c r="H296" s="38">
        <f t="shared" si="37"/>
        <v>49.2926</v>
      </c>
      <c r="I296" s="36">
        <v>1169.2203300000001</v>
      </c>
      <c r="J296" s="36">
        <v>4095.326395</v>
      </c>
      <c r="K296" s="36">
        <v>1800.4954319999999</v>
      </c>
      <c r="L296" s="36">
        <v>2.8459340000000002</v>
      </c>
      <c r="M296" s="36">
        <v>188.75758200000001</v>
      </c>
      <c r="N296" s="38">
        <f t="shared" si="38"/>
        <v>13.126146000000006</v>
      </c>
      <c r="O296" s="36">
        <v>175.63143600000001</v>
      </c>
      <c r="P296" s="39">
        <v>0</v>
      </c>
      <c r="Q296" s="39">
        <v>0</v>
      </c>
      <c r="R296" s="40">
        <f t="shared" si="39"/>
        <v>0</v>
      </c>
      <c r="S296" s="39"/>
      <c r="T296" s="41">
        <v>761</v>
      </c>
    </row>
    <row r="297" spans="2:20" ht="15.6" x14ac:dyDescent="0.3">
      <c r="B297" s="60">
        <f t="shared" si="40"/>
        <v>27</v>
      </c>
      <c r="C297" s="60" t="s">
        <v>473</v>
      </c>
      <c r="D297" s="34" t="s">
        <v>474</v>
      </c>
      <c r="E297" s="35">
        <v>45838</v>
      </c>
      <c r="F297" s="36">
        <v>308.10937000000001</v>
      </c>
      <c r="G297" s="37">
        <v>10</v>
      </c>
      <c r="H297" s="38">
        <f t="shared" si="37"/>
        <v>30.810937000000003</v>
      </c>
      <c r="I297" s="36">
        <v>10309.521137</v>
      </c>
      <c r="J297" s="36">
        <v>39270.089356999997</v>
      </c>
      <c r="K297" s="36">
        <v>40219.998058999998</v>
      </c>
      <c r="L297" s="36">
        <v>2894.754007</v>
      </c>
      <c r="M297" s="36">
        <v>352.91417000000001</v>
      </c>
      <c r="N297" s="38">
        <f t="shared" si="38"/>
        <v>95.921311000000003</v>
      </c>
      <c r="O297" s="36">
        <v>256.99285900000001</v>
      </c>
      <c r="P297" s="39">
        <v>0</v>
      </c>
      <c r="Q297" s="39">
        <v>0</v>
      </c>
      <c r="R297" s="40">
        <f t="shared" si="39"/>
        <v>0</v>
      </c>
      <c r="S297" s="39"/>
      <c r="T297" s="41">
        <v>1438</v>
      </c>
    </row>
    <row r="298" spans="2:20" ht="15.6" x14ac:dyDescent="0.3">
      <c r="B298" s="60">
        <f t="shared" si="40"/>
        <v>28</v>
      </c>
      <c r="C298" s="60" t="s">
        <v>475</v>
      </c>
      <c r="D298" s="34" t="s">
        <v>476</v>
      </c>
      <c r="E298" s="35">
        <v>45838</v>
      </c>
      <c r="F298" s="36">
        <v>216.89791</v>
      </c>
      <c r="G298" s="37">
        <v>10</v>
      </c>
      <c r="H298" s="38">
        <f t="shared" si="37"/>
        <v>21.689791</v>
      </c>
      <c r="I298" s="36">
        <v>42747.020339000002</v>
      </c>
      <c r="J298" s="36">
        <v>96375.514886000004</v>
      </c>
      <c r="K298" s="36">
        <v>93258.687325000006</v>
      </c>
      <c r="L298" s="36">
        <v>4666.516224</v>
      </c>
      <c r="M298" s="36">
        <v>5171.1819820000001</v>
      </c>
      <c r="N298" s="38">
        <f t="shared" si="38"/>
        <v>1220.2152999999998</v>
      </c>
      <c r="O298" s="36">
        <v>3950.9666820000002</v>
      </c>
      <c r="P298" s="39">
        <f>255</f>
        <v>255</v>
      </c>
      <c r="Q298" s="39">
        <v>0</v>
      </c>
      <c r="R298" s="40">
        <f t="shared" si="39"/>
        <v>255</v>
      </c>
      <c r="S298" s="39"/>
      <c r="T298" s="41">
        <v>533</v>
      </c>
    </row>
    <row r="299" spans="2:20" ht="15.6" x14ac:dyDescent="0.3">
      <c r="B299" s="60">
        <f t="shared" si="40"/>
        <v>29</v>
      </c>
      <c r="C299" s="60" t="s">
        <v>477</v>
      </c>
      <c r="D299" s="34" t="s">
        <v>478</v>
      </c>
      <c r="E299" s="35">
        <v>45838</v>
      </c>
      <c r="F299" s="36">
        <v>206.71875</v>
      </c>
      <c r="G299" s="37">
        <v>10</v>
      </c>
      <c r="H299" s="38">
        <f t="shared" si="37"/>
        <v>20.671875</v>
      </c>
      <c r="I299" s="36">
        <v>50614.119024</v>
      </c>
      <c r="J299" s="36">
        <v>83669.457276000001</v>
      </c>
      <c r="K299" s="36">
        <v>50561.850930000001</v>
      </c>
      <c r="L299" s="36">
        <v>2075.9792029999999</v>
      </c>
      <c r="M299" s="36">
        <v>17342.208263</v>
      </c>
      <c r="N299" s="38">
        <f t="shared" si="38"/>
        <v>3665.3716920000006</v>
      </c>
      <c r="O299" s="36">
        <v>13676.836571</v>
      </c>
      <c r="P299" s="39">
        <v>100</v>
      </c>
      <c r="Q299" s="39">
        <v>0</v>
      </c>
      <c r="R299" s="40">
        <f t="shared" si="39"/>
        <v>100</v>
      </c>
      <c r="S299" s="39"/>
      <c r="T299" s="41">
        <v>736</v>
      </c>
    </row>
    <row r="300" spans="2:20" ht="15.6" x14ac:dyDescent="0.3">
      <c r="B300" s="60">
        <f t="shared" si="40"/>
        <v>30</v>
      </c>
      <c r="C300" s="60" t="s">
        <v>479</v>
      </c>
      <c r="D300" s="34" t="s">
        <v>480</v>
      </c>
      <c r="E300" s="35">
        <v>45838</v>
      </c>
      <c r="F300" s="36">
        <v>86.4</v>
      </c>
      <c r="G300" s="37">
        <v>10</v>
      </c>
      <c r="H300" s="38">
        <f t="shared" si="37"/>
        <v>8.64</v>
      </c>
      <c r="I300" s="36">
        <v>779.85900000000004</v>
      </c>
      <c r="J300" s="36">
        <v>2606.0940000000001</v>
      </c>
      <c r="K300" s="36">
        <v>4104.8119999999999</v>
      </c>
      <c r="L300" s="36">
        <v>105.65</v>
      </c>
      <c r="M300" s="36">
        <v>-142.13300000000001</v>
      </c>
      <c r="N300" s="38">
        <f t="shared" si="38"/>
        <v>-4.9390000000000214</v>
      </c>
      <c r="O300" s="36">
        <v>-137.19399999999999</v>
      </c>
      <c r="P300" s="39">
        <v>0</v>
      </c>
      <c r="Q300" s="39">
        <v>0</v>
      </c>
      <c r="R300" s="40">
        <f t="shared" si="39"/>
        <v>0</v>
      </c>
      <c r="S300" s="39"/>
      <c r="T300" s="41">
        <v>972</v>
      </c>
    </row>
    <row r="301" spans="2:20" ht="15.6" x14ac:dyDescent="0.3">
      <c r="B301" s="60">
        <f t="shared" si="40"/>
        <v>31</v>
      </c>
      <c r="C301" s="60" t="s">
        <v>481</v>
      </c>
      <c r="D301" s="34" t="s">
        <v>482</v>
      </c>
      <c r="E301" s="35">
        <v>45838</v>
      </c>
      <c r="F301" s="36">
        <v>4888.2777299999998</v>
      </c>
      <c r="G301" s="37">
        <v>10</v>
      </c>
      <c r="H301" s="38">
        <f>+F301/G301</f>
        <v>488.82777299999998</v>
      </c>
      <c r="I301" s="36">
        <v>13713.072</v>
      </c>
      <c r="J301" s="36">
        <v>20098.266</v>
      </c>
      <c r="K301" s="36">
        <v>20727.706999999999</v>
      </c>
      <c r="L301" s="36">
        <v>354.12799999999999</v>
      </c>
      <c r="M301" s="36">
        <v>1924.6569999999999</v>
      </c>
      <c r="N301" s="38">
        <f>+M301-O301</f>
        <v>651.37599999999998</v>
      </c>
      <c r="O301" s="36">
        <v>1273.2809999999999</v>
      </c>
      <c r="P301" s="39">
        <f>2.5+7.5</f>
        <v>10</v>
      </c>
      <c r="Q301" s="39">
        <v>0</v>
      </c>
      <c r="R301" s="40">
        <f>SUM(P301:Q301)</f>
        <v>10</v>
      </c>
      <c r="S301" s="39"/>
      <c r="T301" s="41">
        <v>328</v>
      </c>
    </row>
    <row r="302" spans="2:20" ht="15.6" x14ac:dyDescent="0.3">
      <c r="B302" s="60">
        <f t="shared" si="40"/>
        <v>32</v>
      </c>
      <c r="C302" s="60" t="s">
        <v>483</v>
      </c>
      <c r="D302" s="34" t="s">
        <v>484</v>
      </c>
      <c r="E302" s="35">
        <v>45838</v>
      </c>
      <c r="F302" s="36">
        <v>488.09516000000002</v>
      </c>
      <c r="G302" s="37">
        <v>10</v>
      </c>
      <c r="H302" s="38">
        <f t="shared" si="37"/>
        <v>48.809516000000002</v>
      </c>
      <c r="I302" s="36">
        <v>13545.795</v>
      </c>
      <c r="J302" s="36">
        <v>24294.151999999998</v>
      </c>
      <c r="K302" s="36">
        <v>27411.457999999999</v>
      </c>
      <c r="L302" s="36">
        <v>189.89400000000001</v>
      </c>
      <c r="M302" s="36">
        <v>1878.9290000000001</v>
      </c>
      <c r="N302" s="38">
        <f t="shared" si="38"/>
        <v>760.24600000000009</v>
      </c>
      <c r="O302" s="36">
        <v>1118.683</v>
      </c>
      <c r="P302" s="39">
        <v>50</v>
      </c>
      <c r="Q302" s="39">
        <v>0</v>
      </c>
      <c r="R302" s="40">
        <f t="shared" si="39"/>
        <v>50</v>
      </c>
      <c r="S302" s="39"/>
      <c r="T302" s="41">
        <v>895</v>
      </c>
    </row>
    <row r="303" spans="2:20" ht="15.6" x14ac:dyDescent="0.3">
      <c r="B303" s="60">
        <f t="shared" si="40"/>
        <v>33</v>
      </c>
      <c r="C303" s="60" t="s">
        <v>485</v>
      </c>
      <c r="D303" s="34" t="s">
        <v>486</v>
      </c>
      <c r="E303" s="35">
        <v>45838</v>
      </c>
      <c r="F303" s="36">
        <v>170</v>
      </c>
      <c r="G303" s="37">
        <v>10</v>
      </c>
      <c r="H303" s="38">
        <f t="shared" si="37"/>
        <v>17</v>
      </c>
      <c r="I303" s="36">
        <v>8877.9570500000009</v>
      </c>
      <c r="J303" s="36">
        <v>12387.422307000001</v>
      </c>
      <c r="K303" s="36">
        <v>12347.001877999999</v>
      </c>
      <c r="L303" s="36">
        <v>29.640967</v>
      </c>
      <c r="M303" s="36">
        <v>69.853188000000003</v>
      </c>
      <c r="N303" s="38">
        <f t="shared" si="38"/>
        <v>-216.85584499999999</v>
      </c>
      <c r="O303" s="36">
        <v>286.70903299999998</v>
      </c>
      <c r="P303" s="39">
        <v>0</v>
      </c>
      <c r="Q303" s="39">
        <v>0</v>
      </c>
      <c r="R303" s="40">
        <f t="shared" si="39"/>
        <v>0</v>
      </c>
      <c r="S303" s="39"/>
      <c r="T303" s="41">
        <v>1421</v>
      </c>
    </row>
    <row r="304" spans="2:20" ht="15.6" x14ac:dyDescent="0.3">
      <c r="B304" s="60">
        <f t="shared" si="40"/>
        <v>34</v>
      </c>
      <c r="C304" s="60" t="s">
        <v>487</v>
      </c>
      <c r="D304" s="34" t="s">
        <v>488</v>
      </c>
      <c r="E304" s="35">
        <v>45838</v>
      </c>
      <c r="F304" s="36">
        <v>1914.21099</v>
      </c>
      <c r="G304" s="37">
        <v>10</v>
      </c>
      <c r="H304" s="38">
        <f t="shared" si="37"/>
        <v>191.421099</v>
      </c>
      <c r="I304" s="36">
        <v>20865.523695</v>
      </c>
      <c r="J304" s="36">
        <f>19179.355748+17782.782788</f>
        <v>36962.138535999999</v>
      </c>
      <c r="K304" s="36">
        <v>40608.062590000001</v>
      </c>
      <c r="L304" s="36">
        <v>1072.1937660000001</v>
      </c>
      <c r="M304" s="36">
        <v>1592.1707530000001</v>
      </c>
      <c r="N304" s="38">
        <f t="shared" si="38"/>
        <v>97.389964000000191</v>
      </c>
      <c r="O304" s="36">
        <v>1494.7807889999999</v>
      </c>
      <c r="P304" s="39">
        <v>0</v>
      </c>
      <c r="Q304" s="39">
        <v>0</v>
      </c>
      <c r="R304" s="40">
        <f t="shared" si="39"/>
        <v>0</v>
      </c>
      <c r="S304" s="39"/>
      <c r="T304" s="41">
        <v>3256</v>
      </c>
    </row>
    <row r="305" spans="2:20" ht="15.6" x14ac:dyDescent="0.3">
      <c r="B305" s="62"/>
      <c r="C305" s="62"/>
      <c r="D305" s="64"/>
      <c r="E305" s="65"/>
      <c r="F305" s="66"/>
      <c r="G305" s="43"/>
      <c r="H305" s="67"/>
      <c r="I305" s="66"/>
      <c r="J305" s="66"/>
      <c r="K305" s="66"/>
      <c r="L305" s="66"/>
      <c r="M305" s="66"/>
      <c r="N305" s="67"/>
      <c r="O305" s="66"/>
      <c r="P305" s="68"/>
      <c r="Q305" s="68"/>
      <c r="R305" s="69"/>
      <c r="S305" s="68"/>
      <c r="T305" s="70"/>
    </row>
    <row r="306" spans="2:20" ht="18" x14ac:dyDescent="0.35">
      <c r="B306" s="28"/>
      <c r="C306" s="28"/>
      <c r="D306" s="56" t="s">
        <v>30</v>
      </c>
      <c r="E306" s="28"/>
      <c r="F306" s="28"/>
      <c r="G306" s="43"/>
      <c r="H306" s="44"/>
      <c r="I306" s="30"/>
      <c r="J306" s="30"/>
      <c r="K306" s="30"/>
      <c r="L306" s="30"/>
      <c r="M306" s="30"/>
      <c r="N306" s="45"/>
      <c r="O306" s="30"/>
      <c r="P306" s="30"/>
      <c r="Q306" s="30"/>
      <c r="R306" s="45"/>
      <c r="S306" s="30"/>
      <c r="T306" s="30"/>
    </row>
    <row r="307" spans="2:20" ht="15.6" x14ac:dyDescent="0.3">
      <c r="B307" s="60">
        <v>1</v>
      </c>
      <c r="C307" s="60" t="s">
        <v>489</v>
      </c>
      <c r="D307" s="34" t="s">
        <v>490</v>
      </c>
      <c r="E307" s="35">
        <v>45838</v>
      </c>
      <c r="F307" s="36">
        <v>104.5789</v>
      </c>
      <c r="G307" s="37">
        <v>10</v>
      </c>
      <c r="H307" s="38">
        <f t="shared" ref="H307:H322" si="42">+F307/G307</f>
        <v>10.457890000000001</v>
      </c>
      <c r="I307" s="36">
        <v>-110.12368600000001</v>
      </c>
      <c r="J307" s="36">
        <v>931.00689299999999</v>
      </c>
      <c r="K307" s="36">
        <v>191.8</v>
      </c>
      <c r="L307" s="36">
        <v>1.663991</v>
      </c>
      <c r="M307" s="36">
        <v>-36.651246</v>
      </c>
      <c r="N307" s="38">
        <f t="shared" ref="N307:N322" si="43">+M307-O307</f>
        <v>3.7647869999999983</v>
      </c>
      <c r="O307" s="36">
        <v>-40.416032999999999</v>
      </c>
      <c r="P307" s="39">
        <v>0</v>
      </c>
      <c r="Q307" s="39">
        <v>0</v>
      </c>
      <c r="R307" s="40">
        <f t="shared" ref="R307:R322" si="44">SUM(P307:Q307)</f>
        <v>0</v>
      </c>
      <c r="S307" s="39"/>
      <c r="T307" s="41">
        <v>947</v>
      </c>
    </row>
    <row r="308" spans="2:20" ht="15.6" x14ac:dyDescent="0.3">
      <c r="B308" s="60">
        <f>+B307+1</f>
        <v>2</v>
      </c>
      <c r="C308" s="60" t="s">
        <v>491</v>
      </c>
      <c r="D308" s="34" t="s">
        <v>492</v>
      </c>
      <c r="E308" s="35">
        <v>45838</v>
      </c>
      <c r="F308" s="36">
        <v>20</v>
      </c>
      <c r="G308" s="37">
        <v>10</v>
      </c>
      <c r="H308" s="38">
        <f t="shared" si="42"/>
        <v>2</v>
      </c>
      <c r="I308" s="36">
        <v>573.63469299999997</v>
      </c>
      <c r="J308" s="36">
        <v>609.22964200000001</v>
      </c>
      <c r="K308" s="36">
        <v>0</v>
      </c>
      <c r="L308" s="36">
        <v>8.92E-4</v>
      </c>
      <c r="M308" s="36">
        <v>7.0284690000000003</v>
      </c>
      <c r="N308" s="38">
        <f t="shared" si="43"/>
        <v>0</v>
      </c>
      <c r="O308" s="36">
        <v>7.0284690000000003</v>
      </c>
      <c r="P308" s="39">
        <v>0</v>
      </c>
      <c r="Q308" s="39">
        <v>0</v>
      </c>
      <c r="R308" s="40">
        <f t="shared" si="44"/>
        <v>0</v>
      </c>
      <c r="S308" s="39"/>
      <c r="T308" s="41">
        <v>152</v>
      </c>
    </row>
    <row r="309" spans="2:20" ht="15.6" x14ac:dyDescent="0.3">
      <c r="B309" s="60">
        <f t="shared" ref="B309:B322" si="45">+B308+1</f>
        <v>3</v>
      </c>
      <c r="C309" s="60" t="s">
        <v>493</v>
      </c>
      <c r="D309" s="34" t="s">
        <v>494</v>
      </c>
      <c r="E309" s="35">
        <v>45838</v>
      </c>
      <c r="F309" s="36"/>
      <c r="G309" s="37">
        <v>10</v>
      </c>
      <c r="H309" s="38">
        <f t="shared" si="42"/>
        <v>0</v>
      </c>
      <c r="I309" s="36"/>
      <c r="J309" s="36"/>
      <c r="K309" s="36"/>
      <c r="L309" s="36"/>
      <c r="M309" s="36"/>
      <c r="N309" s="38">
        <f t="shared" si="43"/>
        <v>0</v>
      </c>
      <c r="O309" s="36"/>
      <c r="P309" s="39"/>
      <c r="Q309" s="39"/>
      <c r="R309" s="40">
        <f t="shared" si="44"/>
        <v>0</v>
      </c>
      <c r="S309" s="39"/>
      <c r="T309" s="41"/>
    </row>
    <row r="310" spans="2:20" ht="15.6" x14ac:dyDescent="0.3">
      <c r="B310" s="60">
        <f t="shared" si="45"/>
        <v>4</v>
      </c>
      <c r="C310" s="60" t="s">
        <v>495</v>
      </c>
      <c r="D310" s="34" t="s">
        <v>496</v>
      </c>
      <c r="E310" s="35">
        <v>45838</v>
      </c>
      <c r="F310" s="36">
        <v>132.71600000000001</v>
      </c>
      <c r="G310" s="37">
        <v>10</v>
      </c>
      <c r="H310" s="38">
        <f t="shared" si="42"/>
        <v>13.271600000000001</v>
      </c>
      <c r="I310" s="36">
        <v>333.64913100000001</v>
      </c>
      <c r="J310" s="36">
        <v>806.33524799999998</v>
      </c>
      <c r="K310" s="36">
        <v>960.74618399999997</v>
      </c>
      <c r="L310" s="36">
        <v>6.2453200000000004</v>
      </c>
      <c r="M310" s="36">
        <v>-30.025046</v>
      </c>
      <c r="N310" s="38">
        <f t="shared" si="43"/>
        <v>10.193208000000002</v>
      </c>
      <c r="O310" s="36">
        <v>-40.218254000000002</v>
      </c>
      <c r="P310" s="39">
        <v>0</v>
      </c>
      <c r="Q310" s="39">
        <v>0</v>
      </c>
      <c r="R310" s="40">
        <f t="shared" si="44"/>
        <v>0</v>
      </c>
      <c r="S310" s="39"/>
      <c r="T310" s="41">
        <v>296</v>
      </c>
    </row>
    <row r="311" spans="2:20" ht="15.6" x14ac:dyDescent="0.3">
      <c r="B311" s="60">
        <f t="shared" si="45"/>
        <v>5</v>
      </c>
      <c r="C311" s="60" t="s">
        <v>497</v>
      </c>
      <c r="D311" s="34" t="s">
        <v>498</v>
      </c>
      <c r="E311" s="35">
        <v>45838</v>
      </c>
      <c r="F311" s="36">
        <v>98.6</v>
      </c>
      <c r="G311" s="37">
        <v>10</v>
      </c>
      <c r="H311" s="38">
        <f t="shared" si="42"/>
        <v>9.86</v>
      </c>
      <c r="I311" s="36">
        <v>626.64085299999999</v>
      </c>
      <c r="J311" s="36">
        <v>933.16211399999997</v>
      </c>
      <c r="K311" s="36">
        <v>441.52052900000001</v>
      </c>
      <c r="L311" s="36">
        <v>9.0673449999999995</v>
      </c>
      <c r="M311" s="36">
        <v>268.206163</v>
      </c>
      <c r="N311" s="38">
        <f t="shared" si="43"/>
        <v>-76.630314999999996</v>
      </c>
      <c r="O311" s="36">
        <v>344.836478</v>
      </c>
      <c r="P311" s="39">
        <v>0</v>
      </c>
      <c r="Q311" s="39">
        <v>0</v>
      </c>
      <c r="R311" s="40">
        <f t="shared" si="44"/>
        <v>0</v>
      </c>
      <c r="S311" s="39"/>
      <c r="T311" s="41">
        <v>6129</v>
      </c>
    </row>
    <row r="312" spans="2:20" ht="15.6" x14ac:dyDescent="0.3">
      <c r="B312" s="60">
        <f t="shared" si="45"/>
        <v>6</v>
      </c>
      <c r="C312" s="60" t="s">
        <v>499</v>
      </c>
      <c r="D312" s="46" t="s">
        <v>500</v>
      </c>
      <c r="E312" s="35">
        <v>45838</v>
      </c>
      <c r="F312" s="36">
        <v>324.91205000000002</v>
      </c>
      <c r="G312" s="37">
        <v>10</v>
      </c>
      <c r="H312" s="38">
        <f t="shared" si="42"/>
        <v>32.491205000000001</v>
      </c>
      <c r="I312" s="36">
        <v>1157.180177</v>
      </c>
      <c r="J312" s="36">
        <v>1344.8716099999999</v>
      </c>
      <c r="K312" s="36">
        <v>12.750792000000001</v>
      </c>
      <c r="L312" s="36">
        <v>3.1396E-2</v>
      </c>
      <c r="M312" s="36">
        <v>137.622758</v>
      </c>
      <c r="N312" s="38">
        <f t="shared" si="43"/>
        <v>0</v>
      </c>
      <c r="O312" s="36">
        <v>137.622758</v>
      </c>
      <c r="P312" s="39">
        <v>0</v>
      </c>
      <c r="Q312" s="39">
        <v>0</v>
      </c>
      <c r="R312" s="40">
        <f t="shared" si="44"/>
        <v>0</v>
      </c>
      <c r="S312" s="39"/>
      <c r="T312" s="41">
        <v>1374</v>
      </c>
    </row>
    <row r="313" spans="2:20" ht="15.6" x14ac:dyDescent="0.3">
      <c r="B313" s="60">
        <f t="shared" si="45"/>
        <v>7</v>
      </c>
      <c r="C313" s="60" t="s">
        <v>501</v>
      </c>
      <c r="D313" s="34" t="s">
        <v>502</v>
      </c>
      <c r="E313" s="35">
        <v>45838</v>
      </c>
      <c r="F313" s="36"/>
      <c r="G313" s="37">
        <v>10</v>
      </c>
      <c r="H313" s="38">
        <f t="shared" si="42"/>
        <v>0</v>
      </c>
      <c r="I313" s="36"/>
      <c r="J313" s="36"/>
      <c r="K313" s="36"/>
      <c r="L313" s="36"/>
      <c r="M313" s="36"/>
      <c r="N313" s="38">
        <f t="shared" si="43"/>
        <v>0</v>
      </c>
      <c r="O313" s="36"/>
      <c r="P313" s="39"/>
      <c r="Q313" s="39"/>
      <c r="R313" s="40">
        <f t="shared" si="44"/>
        <v>0</v>
      </c>
      <c r="S313" s="39"/>
      <c r="T313" s="41"/>
    </row>
    <row r="314" spans="2:20" ht="15.6" x14ac:dyDescent="0.3">
      <c r="B314" s="60">
        <f t="shared" si="45"/>
        <v>8</v>
      </c>
      <c r="C314" s="60" t="s">
        <v>503</v>
      </c>
      <c r="D314" s="34" t="s">
        <v>504</v>
      </c>
      <c r="E314" s="35">
        <v>45838</v>
      </c>
      <c r="F314" s="36"/>
      <c r="G314" s="37">
        <v>10</v>
      </c>
      <c r="H314" s="38">
        <f t="shared" si="42"/>
        <v>0</v>
      </c>
      <c r="I314" s="36"/>
      <c r="J314" s="36"/>
      <c r="K314" s="36"/>
      <c r="L314" s="36"/>
      <c r="M314" s="36"/>
      <c r="N314" s="38">
        <f t="shared" si="43"/>
        <v>0</v>
      </c>
      <c r="O314" s="36"/>
      <c r="P314" s="39"/>
      <c r="Q314" s="39"/>
      <c r="R314" s="40">
        <f t="shared" si="44"/>
        <v>0</v>
      </c>
      <c r="S314" s="39"/>
      <c r="T314" s="41"/>
    </row>
    <row r="315" spans="2:20" ht="15.6" x14ac:dyDescent="0.3">
      <c r="B315" s="60">
        <f t="shared" si="45"/>
        <v>9</v>
      </c>
      <c r="C315" s="60" t="s">
        <v>505</v>
      </c>
      <c r="D315" s="34" t="s">
        <v>506</v>
      </c>
      <c r="E315" s="35">
        <v>45838</v>
      </c>
      <c r="F315" s="36">
        <v>54</v>
      </c>
      <c r="G315" s="37">
        <v>10</v>
      </c>
      <c r="H315" s="38">
        <f t="shared" si="42"/>
        <v>5.4</v>
      </c>
      <c r="I315" s="36">
        <v>219.55663300000001</v>
      </c>
      <c r="J315" s="36">
        <v>275.15303599999999</v>
      </c>
      <c r="K315" s="36">
        <v>0</v>
      </c>
      <c r="L315" s="36">
        <v>3.248E-3</v>
      </c>
      <c r="M315" s="36">
        <v>0.56595899999999999</v>
      </c>
      <c r="N315" s="38">
        <f t="shared" si="43"/>
        <v>2.1827510000000001</v>
      </c>
      <c r="O315" s="36">
        <v>-1.616792</v>
      </c>
      <c r="P315" s="39">
        <v>0</v>
      </c>
      <c r="Q315" s="39">
        <v>0</v>
      </c>
      <c r="R315" s="40">
        <f t="shared" si="44"/>
        <v>0</v>
      </c>
      <c r="S315" s="39"/>
      <c r="T315" s="41">
        <v>611</v>
      </c>
    </row>
    <row r="316" spans="2:20" ht="15.6" x14ac:dyDescent="0.3">
      <c r="B316" s="60">
        <f t="shared" si="45"/>
        <v>10</v>
      </c>
      <c r="C316" s="60" t="s">
        <v>507</v>
      </c>
      <c r="D316" s="46" t="s">
        <v>508</v>
      </c>
      <c r="E316" s="35">
        <v>45838</v>
      </c>
      <c r="F316" s="80"/>
      <c r="G316" s="81">
        <v>10</v>
      </c>
      <c r="H316" s="82">
        <f t="shared" si="42"/>
        <v>0</v>
      </c>
      <c r="I316" s="80"/>
      <c r="J316" s="80"/>
      <c r="K316" s="80"/>
      <c r="L316" s="80"/>
      <c r="M316" s="80"/>
      <c r="N316" s="82">
        <f t="shared" si="43"/>
        <v>0</v>
      </c>
      <c r="O316" s="80"/>
      <c r="P316" s="83"/>
      <c r="Q316" s="83"/>
      <c r="R316" s="84">
        <f t="shared" si="44"/>
        <v>0</v>
      </c>
      <c r="S316" s="83"/>
      <c r="T316" s="85"/>
    </row>
    <row r="317" spans="2:20" ht="15.6" x14ac:dyDescent="0.3">
      <c r="B317" s="60">
        <f t="shared" si="45"/>
        <v>11</v>
      </c>
      <c r="C317" s="60" t="s">
        <v>509</v>
      </c>
      <c r="D317" s="34" t="s">
        <v>510</v>
      </c>
      <c r="E317" s="35">
        <v>45838</v>
      </c>
      <c r="F317" s="36">
        <v>173.52329</v>
      </c>
      <c r="G317" s="37">
        <v>10</v>
      </c>
      <c r="H317" s="38">
        <f t="shared" si="42"/>
        <v>17.352329000000001</v>
      </c>
      <c r="I317" s="36">
        <v>-576.24330999999995</v>
      </c>
      <c r="J317" s="36">
        <v>26.009025000000001</v>
      </c>
      <c r="K317" s="36">
        <v>0</v>
      </c>
      <c r="L317" s="36">
        <v>7.4669999999999997E-3</v>
      </c>
      <c r="M317" s="36">
        <v>39.137129999999999</v>
      </c>
      <c r="N317" s="38">
        <f t="shared" si="43"/>
        <v>0</v>
      </c>
      <c r="O317" s="36">
        <v>39.137129999999999</v>
      </c>
      <c r="P317" s="39">
        <v>0</v>
      </c>
      <c r="Q317" s="39">
        <v>0</v>
      </c>
      <c r="R317" s="40">
        <f t="shared" si="44"/>
        <v>0</v>
      </c>
      <c r="S317" s="39"/>
      <c r="T317" s="41">
        <v>2888</v>
      </c>
    </row>
    <row r="318" spans="2:20" ht="15.6" x14ac:dyDescent="0.3">
      <c r="B318" s="60">
        <f t="shared" si="45"/>
        <v>12</v>
      </c>
      <c r="C318" s="60" t="s">
        <v>511</v>
      </c>
      <c r="D318" s="34" t="s">
        <v>512</v>
      </c>
      <c r="E318" s="35">
        <v>45838</v>
      </c>
      <c r="F318" s="36">
        <v>130</v>
      </c>
      <c r="G318" s="37">
        <v>10</v>
      </c>
      <c r="H318" s="38">
        <f t="shared" si="42"/>
        <v>13</v>
      </c>
      <c r="I318" s="36">
        <v>1626.142433</v>
      </c>
      <c r="J318" s="36">
        <v>14177.474912</v>
      </c>
      <c r="K318" s="36">
        <v>1064.980446</v>
      </c>
      <c r="L318" s="36">
        <v>7.0827080000000002</v>
      </c>
      <c r="M318" s="36">
        <v>-1623.359291</v>
      </c>
      <c r="N318" s="38">
        <f t="shared" si="43"/>
        <v>13.387425000000121</v>
      </c>
      <c r="O318" s="36">
        <v>-1636.7467160000001</v>
      </c>
      <c r="P318" s="39">
        <v>0</v>
      </c>
      <c r="Q318" s="39">
        <v>0</v>
      </c>
      <c r="R318" s="40">
        <f t="shared" si="44"/>
        <v>0</v>
      </c>
      <c r="S318" s="39"/>
      <c r="T318" s="41">
        <v>422</v>
      </c>
    </row>
    <row r="319" spans="2:20" ht="15.6" x14ac:dyDescent="0.3">
      <c r="B319" s="60">
        <f t="shared" si="45"/>
        <v>13</v>
      </c>
      <c r="C319" s="60" t="s">
        <v>513</v>
      </c>
      <c r="D319" s="34" t="s">
        <v>514</v>
      </c>
      <c r="E319" s="35">
        <v>45838</v>
      </c>
      <c r="F319" s="36"/>
      <c r="G319" s="37">
        <v>10</v>
      </c>
      <c r="H319" s="38">
        <f t="shared" si="42"/>
        <v>0</v>
      </c>
      <c r="I319" s="36"/>
      <c r="J319" s="36"/>
      <c r="K319" s="36"/>
      <c r="L319" s="36"/>
      <c r="M319" s="36"/>
      <c r="N319" s="38">
        <f t="shared" si="43"/>
        <v>0</v>
      </c>
      <c r="O319" s="36"/>
      <c r="P319" s="39"/>
      <c r="Q319" s="39"/>
      <c r="R319" s="40">
        <f t="shared" si="44"/>
        <v>0</v>
      </c>
      <c r="S319" s="39"/>
      <c r="T319" s="41"/>
    </row>
    <row r="320" spans="2:20" ht="15.6" x14ac:dyDescent="0.3">
      <c r="B320" s="60">
        <f t="shared" si="45"/>
        <v>14</v>
      </c>
      <c r="C320" s="60" t="s">
        <v>515</v>
      </c>
      <c r="D320" s="34" t="s">
        <v>516</v>
      </c>
      <c r="E320" s="35">
        <v>45838</v>
      </c>
      <c r="F320" s="36"/>
      <c r="G320" s="37">
        <v>10</v>
      </c>
      <c r="H320" s="38">
        <f t="shared" si="42"/>
        <v>0</v>
      </c>
      <c r="I320" s="36"/>
      <c r="J320" s="36"/>
      <c r="K320" s="36"/>
      <c r="L320" s="36"/>
      <c r="M320" s="36"/>
      <c r="N320" s="38">
        <f t="shared" si="43"/>
        <v>0</v>
      </c>
      <c r="O320" s="36"/>
      <c r="P320" s="39"/>
      <c r="Q320" s="39"/>
      <c r="R320" s="40">
        <f t="shared" si="44"/>
        <v>0</v>
      </c>
      <c r="S320" s="39"/>
      <c r="T320" s="41"/>
    </row>
    <row r="321" spans="2:20" ht="15.6" x14ac:dyDescent="0.3">
      <c r="B321" s="60">
        <f t="shared" si="45"/>
        <v>15</v>
      </c>
      <c r="C321" s="60" t="s">
        <v>517</v>
      </c>
      <c r="D321" s="34" t="s">
        <v>518</v>
      </c>
      <c r="E321" s="35">
        <v>45838</v>
      </c>
      <c r="F321" s="36"/>
      <c r="G321" s="37">
        <v>10</v>
      </c>
      <c r="H321" s="38">
        <f t="shared" si="42"/>
        <v>0</v>
      </c>
      <c r="I321" s="36"/>
      <c r="J321" s="36"/>
      <c r="K321" s="36"/>
      <c r="L321" s="36"/>
      <c r="M321" s="36"/>
      <c r="N321" s="38">
        <f t="shared" si="43"/>
        <v>0</v>
      </c>
      <c r="O321" s="36"/>
      <c r="P321" s="39"/>
      <c r="Q321" s="39"/>
      <c r="R321" s="40">
        <f t="shared" si="44"/>
        <v>0</v>
      </c>
      <c r="S321" s="39"/>
      <c r="T321" s="41"/>
    </row>
    <row r="322" spans="2:20" ht="15.6" x14ac:dyDescent="0.3">
      <c r="B322" s="60">
        <f t="shared" si="45"/>
        <v>16</v>
      </c>
      <c r="C322" s="60" t="s">
        <v>519</v>
      </c>
      <c r="D322" s="34" t="s">
        <v>520</v>
      </c>
      <c r="E322" s="35">
        <v>45838</v>
      </c>
      <c r="F322" s="36"/>
      <c r="G322" s="37">
        <v>10</v>
      </c>
      <c r="H322" s="38">
        <f t="shared" si="42"/>
        <v>0</v>
      </c>
      <c r="I322" s="36"/>
      <c r="J322" s="36"/>
      <c r="K322" s="36"/>
      <c r="L322" s="36"/>
      <c r="M322" s="36"/>
      <c r="N322" s="38">
        <f t="shared" si="43"/>
        <v>0</v>
      </c>
      <c r="O322" s="36"/>
      <c r="P322" s="39"/>
      <c r="Q322" s="39"/>
      <c r="R322" s="40">
        <f t="shared" si="44"/>
        <v>0</v>
      </c>
      <c r="S322" s="39"/>
      <c r="T322" s="41"/>
    </row>
    <row r="323" spans="2:20" ht="15.6" x14ac:dyDescent="0.3">
      <c r="B323" s="62"/>
      <c r="C323" s="62"/>
      <c r="D323" s="64"/>
      <c r="E323" s="65"/>
      <c r="F323" s="66"/>
      <c r="G323" s="43"/>
      <c r="H323" s="67"/>
      <c r="I323" s="66"/>
      <c r="J323" s="66"/>
      <c r="K323" s="66"/>
      <c r="L323" s="66"/>
      <c r="M323" s="66"/>
      <c r="N323" s="67"/>
      <c r="O323" s="66"/>
      <c r="P323" s="68"/>
      <c r="Q323" s="68"/>
      <c r="R323" s="69"/>
      <c r="S323" s="68"/>
      <c r="T323" s="70"/>
    </row>
    <row r="324" spans="2:20" ht="15.6" x14ac:dyDescent="0.3">
      <c r="B324" s="47">
        <f>COUNT(B270:B323)</f>
        <v>50</v>
      </c>
      <c r="C324" s="47"/>
      <c r="D324" s="48"/>
      <c r="E324" s="48"/>
      <c r="F324" s="48">
        <f>SUM(F270:F323)</f>
        <v>54991.550879999995</v>
      </c>
      <c r="G324" s="49"/>
      <c r="H324" s="50">
        <f>SUM(H270:H323)</f>
        <v>7034.5520110000007</v>
      </c>
      <c r="I324" s="48">
        <f>SUM(I270:I323)</f>
        <v>672693.4781660001</v>
      </c>
      <c r="J324" s="48">
        <f>SUM(J270:J323)</f>
        <v>1597857.3964750001</v>
      </c>
      <c r="K324" s="48">
        <f>SUM(K270:K323)</f>
        <v>1450102.614025</v>
      </c>
      <c r="L324" s="48">
        <f>SUM(L270:L323)</f>
        <v>67984.457126999987</v>
      </c>
      <c r="M324" s="48">
        <f>SUM(M270:M323)</f>
        <v>54582.100816999999</v>
      </c>
      <c r="N324" s="51">
        <f>SUM(N270:N323)</f>
        <v>14295.849528000004</v>
      </c>
      <c r="O324" s="48">
        <f>SUM(O270:O323)</f>
        <v>40286.251288999985</v>
      </c>
      <c r="P324" s="52"/>
      <c r="Q324" s="52"/>
      <c r="R324" s="53"/>
      <c r="S324" s="52"/>
      <c r="T324" s="54">
        <f>SUM(T270:T323)</f>
        <v>96174</v>
      </c>
    </row>
    <row r="325" spans="2:20" ht="15.6" x14ac:dyDescent="0.3">
      <c r="B325" s="62"/>
      <c r="C325" s="62"/>
      <c r="D325" s="64"/>
      <c r="E325" s="65"/>
      <c r="F325" s="66"/>
      <c r="G325" s="43"/>
      <c r="H325" s="67"/>
      <c r="I325" s="66"/>
      <c r="J325" s="66"/>
      <c r="K325" s="66"/>
      <c r="L325" s="66"/>
      <c r="M325" s="66"/>
      <c r="N325" s="67"/>
      <c r="O325" s="66"/>
      <c r="P325" s="68"/>
      <c r="Q325" s="68"/>
      <c r="R325" s="69"/>
      <c r="S325" s="68"/>
      <c r="T325" s="70"/>
    </row>
    <row r="326" spans="2:20" ht="15.6" x14ac:dyDescent="0.3">
      <c r="B326" s="62"/>
      <c r="C326" s="62"/>
      <c r="D326" s="64"/>
      <c r="E326" s="65"/>
      <c r="F326" s="66"/>
      <c r="G326" s="43"/>
      <c r="H326" s="67"/>
      <c r="I326" s="66"/>
      <c r="J326" s="66"/>
      <c r="K326" s="66"/>
      <c r="L326" s="66"/>
      <c r="M326" s="66"/>
      <c r="N326" s="67"/>
      <c r="O326" s="66"/>
      <c r="P326" s="68"/>
      <c r="Q326" s="68"/>
      <c r="R326" s="69"/>
      <c r="S326" s="68"/>
      <c r="T326" s="70"/>
    </row>
    <row r="327" spans="2:20" ht="18" x14ac:dyDescent="0.35">
      <c r="B327" s="28"/>
      <c r="C327" s="32">
        <v>11</v>
      </c>
      <c r="D327" s="32" t="s">
        <v>521</v>
      </c>
      <c r="E327" s="61"/>
      <c r="F327" s="61"/>
      <c r="G327" s="43"/>
      <c r="H327" s="44"/>
      <c r="I327" s="30"/>
      <c r="J327" s="30"/>
      <c r="K327" s="30"/>
      <c r="L327" s="30"/>
      <c r="M327" s="30"/>
      <c r="N327" s="45"/>
      <c r="O327" s="30"/>
      <c r="P327" s="30"/>
      <c r="Q327" s="30"/>
      <c r="R327" s="45"/>
      <c r="S327" s="30"/>
      <c r="T327" s="30"/>
    </row>
    <row r="328" spans="2:20" ht="15.6" x14ac:dyDescent="0.3">
      <c r="B328" s="62"/>
      <c r="C328" s="62"/>
      <c r="D328" s="64"/>
      <c r="E328" s="65"/>
      <c r="F328" s="66"/>
      <c r="G328" s="43"/>
      <c r="H328" s="67"/>
      <c r="I328" s="66"/>
      <c r="J328" s="66"/>
      <c r="K328" s="66"/>
      <c r="L328" s="66"/>
      <c r="M328" s="66"/>
      <c r="N328" s="67"/>
      <c r="O328" s="66"/>
      <c r="P328" s="68"/>
      <c r="Q328" s="68"/>
      <c r="R328" s="69"/>
      <c r="S328" s="68"/>
      <c r="T328" s="70"/>
    </row>
    <row r="329" spans="2:20" ht="15.6" x14ac:dyDescent="0.3">
      <c r="B329" s="60">
        <v>1</v>
      </c>
      <c r="C329" s="60" t="s">
        <v>522</v>
      </c>
      <c r="D329" s="34" t="s">
        <v>523</v>
      </c>
      <c r="E329" s="35">
        <v>45838</v>
      </c>
      <c r="F329" s="36">
        <v>95.0625</v>
      </c>
      <c r="G329" s="37">
        <v>10</v>
      </c>
      <c r="H329" s="38">
        <f>+F329/G329</f>
        <v>9.5062499999999996</v>
      </c>
      <c r="I329" s="36">
        <v>3034.4760000000001</v>
      </c>
      <c r="J329" s="36">
        <v>3851.127</v>
      </c>
      <c r="K329" s="36">
        <v>968.55600000000004</v>
      </c>
      <c r="L329" s="36">
        <v>68.332999999999998</v>
      </c>
      <c r="M329" s="36">
        <v>-93.537000000000006</v>
      </c>
      <c r="N329" s="38">
        <f>+M329-O329</f>
        <v>4.887999999999991</v>
      </c>
      <c r="O329" s="36">
        <v>-98.424999999999997</v>
      </c>
      <c r="P329" s="39">
        <v>0</v>
      </c>
      <c r="Q329" s="39">
        <v>0</v>
      </c>
      <c r="R329" s="40">
        <f>SUM(P329:Q329)</f>
        <v>0</v>
      </c>
      <c r="S329" s="39"/>
      <c r="T329" s="41">
        <v>1442</v>
      </c>
    </row>
    <row r="330" spans="2:20" ht="15.6" x14ac:dyDescent="0.3">
      <c r="B330" s="62"/>
      <c r="C330" s="62"/>
      <c r="D330" s="64"/>
      <c r="E330" s="65"/>
      <c r="F330" s="66"/>
      <c r="G330" s="43"/>
      <c r="H330" s="67"/>
      <c r="I330" s="66"/>
      <c r="J330" s="66"/>
      <c r="K330" s="66"/>
      <c r="L330" s="66"/>
      <c r="M330" s="66"/>
      <c r="N330" s="67"/>
      <c r="O330" s="66"/>
      <c r="P330" s="68"/>
      <c r="Q330" s="68"/>
      <c r="R330" s="69"/>
      <c r="S330" s="68"/>
      <c r="T330" s="70"/>
    </row>
    <row r="331" spans="2:20" ht="15.6" x14ac:dyDescent="0.3">
      <c r="B331" s="47">
        <f>COUNT(B329:B330)</f>
        <v>1</v>
      </c>
      <c r="C331" s="47"/>
      <c r="D331" s="48"/>
      <c r="E331" s="48"/>
      <c r="F331" s="48">
        <f>SUM(F329:F330)</f>
        <v>95.0625</v>
      </c>
      <c r="G331" s="49"/>
      <c r="H331" s="50">
        <f t="shared" ref="H331:O331" si="46">SUM(H329:H330)</f>
        <v>9.5062499999999996</v>
      </c>
      <c r="I331" s="48">
        <f t="shared" si="46"/>
        <v>3034.4760000000001</v>
      </c>
      <c r="J331" s="48">
        <f t="shared" si="46"/>
        <v>3851.127</v>
      </c>
      <c r="K331" s="48">
        <f t="shared" si="46"/>
        <v>968.55600000000004</v>
      </c>
      <c r="L331" s="48">
        <f t="shared" si="46"/>
        <v>68.332999999999998</v>
      </c>
      <c r="M331" s="48">
        <f t="shared" si="46"/>
        <v>-93.537000000000006</v>
      </c>
      <c r="N331" s="51">
        <f t="shared" si="46"/>
        <v>4.887999999999991</v>
      </c>
      <c r="O331" s="48">
        <f t="shared" si="46"/>
        <v>-98.424999999999997</v>
      </c>
      <c r="P331" s="52"/>
      <c r="Q331" s="52"/>
      <c r="R331" s="53"/>
      <c r="S331" s="52"/>
      <c r="T331" s="54">
        <f>SUM(T329:T330)</f>
        <v>1442</v>
      </c>
    </row>
    <row r="332" spans="2:20" ht="15.6" x14ac:dyDescent="0.3">
      <c r="B332" s="62"/>
      <c r="C332" s="62"/>
      <c r="D332" s="64"/>
      <c r="E332" s="65"/>
      <c r="F332" s="66"/>
      <c r="G332" s="43"/>
      <c r="H332" s="67"/>
      <c r="I332" s="66"/>
      <c r="J332" s="66"/>
      <c r="K332" s="66"/>
      <c r="L332" s="66"/>
      <c r="M332" s="66"/>
      <c r="N332" s="67"/>
      <c r="O332" s="66"/>
      <c r="P332" s="68"/>
      <c r="Q332" s="68"/>
      <c r="R332" s="69"/>
      <c r="S332" s="68"/>
      <c r="T332" s="70"/>
    </row>
    <row r="333" spans="2:20" ht="15.6" x14ac:dyDescent="0.3">
      <c r="B333" s="62"/>
      <c r="C333" s="62"/>
      <c r="D333" s="64"/>
      <c r="E333" s="65"/>
      <c r="F333" s="66"/>
      <c r="G333" s="43"/>
      <c r="H333" s="67"/>
      <c r="I333" s="66"/>
      <c r="J333" s="66"/>
      <c r="K333" s="66"/>
      <c r="L333" s="66"/>
      <c r="M333" s="66"/>
      <c r="N333" s="67"/>
      <c r="O333" s="66"/>
      <c r="P333" s="68"/>
      <c r="Q333" s="68"/>
      <c r="R333" s="69"/>
      <c r="S333" s="68"/>
      <c r="T333" s="70"/>
    </row>
    <row r="334" spans="2:20" ht="18" x14ac:dyDescent="0.35">
      <c r="B334" s="28"/>
      <c r="C334" s="32">
        <v>12</v>
      </c>
      <c r="D334" s="32" t="s">
        <v>524</v>
      </c>
      <c r="E334" s="61"/>
      <c r="F334" s="61"/>
      <c r="G334" s="43"/>
      <c r="H334" s="44"/>
      <c r="I334" s="30"/>
      <c r="J334" s="30"/>
      <c r="K334" s="30"/>
      <c r="L334" s="30"/>
      <c r="M334" s="30"/>
      <c r="N334" s="45"/>
      <c r="O334" s="30"/>
      <c r="P334" s="30"/>
      <c r="Q334" s="30"/>
      <c r="R334" s="45"/>
      <c r="S334" s="30"/>
      <c r="T334" s="30"/>
    </row>
    <row r="335" spans="2:20" ht="15.6" x14ac:dyDescent="0.3">
      <c r="B335" s="62"/>
      <c r="C335" s="62"/>
      <c r="D335" s="64"/>
      <c r="E335" s="65"/>
      <c r="F335" s="66"/>
      <c r="G335" s="43"/>
      <c r="H335" s="67"/>
      <c r="I335" s="66"/>
      <c r="J335" s="66"/>
      <c r="K335" s="66"/>
      <c r="L335" s="66"/>
      <c r="M335" s="66"/>
      <c r="N335" s="67"/>
      <c r="O335" s="66"/>
      <c r="P335" s="68"/>
      <c r="Q335" s="68"/>
      <c r="R335" s="69"/>
      <c r="S335" s="68"/>
      <c r="T335" s="70"/>
    </row>
    <row r="336" spans="2:20" ht="15.6" x14ac:dyDescent="0.3">
      <c r="B336" s="60">
        <v>1</v>
      </c>
      <c r="C336" s="60" t="s">
        <v>525</v>
      </c>
      <c r="D336" s="34" t="s">
        <v>526</v>
      </c>
      <c r="E336" s="35">
        <v>45838</v>
      </c>
      <c r="F336" s="36">
        <v>1087.2896000000001</v>
      </c>
      <c r="G336" s="37">
        <v>10</v>
      </c>
      <c r="H336" s="38">
        <f t="shared" ref="H336:H341" si="47">+F336/G336</f>
        <v>108.72896</v>
      </c>
      <c r="I336" s="36">
        <v>11372.589</v>
      </c>
      <c r="J336" s="36">
        <v>34236.877</v>
      </c>
      <c r="K336" s="36">
        <v>26328.04</v>
      </c>
      <c r="L336" s="36">
        <v>1539.2670000000001</v>
      </c>
      <c r="M336" s="36">
        <v>-1970.56</v>
      </c>
      <c r="N336" s="38">
        <f t="shared" ref="N336:N341" si="48">+M336-O336</f>
        <v>0.56300000000010186</v>
      </c>
      <c r="O336" s="36">
        <v>-1971.123</v>
      </c>
      <c r="P336" s="39">
        <v>0</v>
      </c>
      <c r="Q336" s="39">
        <v>0</v>
      </c>
      <c r="R336" s="40">
        <f t="shared" ref="R336:R341" si="49">SUM(P336:Q336)</f>
        <v>0</v>
      </c>
      <c r="S336" s="39"/>
      <c r="T336" s="41">
        <v>1636</v>
      </c>
    </row>
    <row r="337" spans="2:20" ht="15.6" x14ac:dyDescent="0.3">
      <c r="B337" s="60">
        <f>+B336+1</f>
        <v>2</v>
      </c>
      <c r="C337" s="60" t="s">
        <v>527</v>
      </c>
      <c r="D337" s="34" t="s">
        <v>528</v>
      </c>
      <c r="E337" s="35">
        <v>46022</v>
      </c>
      <c r="F337" s="36"/>
      <c r="G337" s="37">
        <v>10</v>
      </c>
      <c r="H337" s="38">
        <f t="shared" si="47"/>
        <v>0</v>
      </c>
      <c r="I337" s="36"/>
      <c r="J337" s="36"/>
      <c r="K337" s="36"/>
      <c r="L337" s="36"/>
      <c r="M337" s="36"/>
      <c r="N337" s="38">
        <f t="shared" si="48"/>
        <v>0</v>
      </c>
      <c r="O337" s="36"/>
      <c r="P337" s="39"/>
      <c r="Q337" s="39"/>
      <c r="R337" s="40">
        <f t="shared" si="49"/>
        <v>0</v>
      </c>
      <c r="S337" s="39"/>
      <c r="T337" s="41"/>
    </row>
    <row r="338" spans="2:20" ht="15.6" x14ac:dyDescent="0.3">
      <c r="B338" s="60">
        <f>+B337+1</f>
        <v>3</v>
      </c>
      <c r="C338" s="60" t="s">
        <v>529</v>
      </c>
      <c r="D338" s="34" t="s">
        <v>530</v>
      </c>
      <c r="E338" s="35">
        <v>45838</v>
      </c>
      <c r="F338" s="36">
        <v>2303.6965</v>
      </c>
      <c r="G338" s="37">
        <v>10</v>
      </c>
      <c r="H338" s="38">
        <f t="shared" si="47"/>
        <v>230.36965000000001</v>
      </c>
      <c r="I338" s="36">
        <v>3800.7620609999999</v>
      </c>
      <c r="J338" s="36">
        <v>6415.1986729999999</v>
      </c>
      <c r="K338" s="36">
        <v>3647.6639660000001</v>
      </c>
      <c r="L338" s="36">
        <v>160.93020300000001</v>
      </c>
      <c r="M338" s="36">
        <v>672.91729199999997</v>
      </c>
      <c r="N338" s="38">
        <f t="shared" si="48"/>
        <v>161.42401099999995</v>
      </c>
      <c r="O338" s="36">
        <v>511.49328100000002</v>
      </c>
      <c r="P338" s="39">
        <f>10+10</f>
        <v>20</v>
      </c>
      <c r="Q338" s="39">
        <v>0</v>
      </c>
      <c r="R338" s="40">
        <f t="shared" si="49"/>
        <v>20</v>
      </c>
      <c r="S338" s="39"/>
      <c r="T338" s="41">
        <v>8307</v>
      </c>
    </row>
    <row r="339" spans="2:20" ht="15.6" x14ac:dyDescent="0.3">
      <c r="B339" s="60">
        <f>+B338+1</f>
        <v>4</v>
      </c>
      <c r="C339" s="60" t="s">
        <v>531</v>
      </c>
      <c r="D339" s="34" t="s">
        <v>532</v>
      </c>
      <c r="E339" s="35">
        <v>45838</v>
      </c>
      <c r="F339" s="36">
        <v>155.53174000000001</v>
      </c>
      <c r="G339" s="37">
        <v>10</v>
      </c>
      <c r="H339" s="38">
        <f t="shared" si="47"/>
        <v>15.553174000000002</v>
      </c>
      <c r="I339" s="36">
        <v>1554.2588490000001</v>
      </c>
      <c r="J339" s="36">
        <v>2208.7321139999999</v>
      </c>
      <c r="K339" s="36">
        <v>2451.39066</v>
      </c>
      <c r="L339" s="36">
        <v>3.0922420000000002</v>
      </c>
      <c r="M339" s="36">
        <v>111.05163400000001</v>
      </c>
      <c r="N339" s="38">
        <f t="shared" si="48"/>
        <v>27.654099000000002</v>
      </c>
      <c r="O339" s="36">
        <v>83.397535000000005</v>
      </c>
      <c r="P339" s="39">
        <v>0</v>
      </c>
      <c r="Q339" s="39">
        <v>0</v>
      </c>
      <c r="R339" s="40">
        <f t="shared" si="49"/>
        <v>0</v>
      </c>
      <c r="S339" s="39"/>
      <c r="T339" s="41">
        <v>614</v>
      </c>
    </row>
    <row r="340" spans="2:20" ht="15.6" x14ac:dyDescent="0.3">
      <c r="B340" s="60">
        <f>+B339+1</f>
        <v>5</v>
      </c>
      <c r="C340" s="60" t="s">
        <v>533</v>
      </c>
      <c r="D340" s="34" t="s">
        <v>534</v>
      </c>
      <c r="E340" s="35">
        <v>45838</v>
      </c>
      <c r="F340" s="36">
        <v>1386.99</v>
      </c>
      <c r="G340" s="37">
        <v>10</v>
      </c>
      <c r="H340" s="38">
        <f t="shared" si="47"/>
        <v>138.69900000000001</v>
      </c>
      <c r="I340" s="36">
        <v>4627.97</v>
      </c>
      <c r="J340" s="36">
        <v>11198.512000000001</v>
      </c>
      <c r="K340" s="36">
        <v>16872.294999999998</v>
      </c>
      <c r="L340" s="36">
        <v>664.89300000000003</v>
      </c>
      <c r="M340" s="36">
        <v>637.47500000000002</v>
      </c>
      <c r="N340" s="38">
        <f t="shared" si="48"/>
        <v>270.02300000000002</v>
      </c>
      <c r="O340" s="36">
        <v>367.452</v>
      </c>
      <c r="P340" s="39">
        <v>0</v>
      </c>
      <c r="Q340" s="39">
        <v>0</v>
      </c>
      <c r="R340" s="40">
        <f t="shared" si="49"/>
        <v>0</v>
      </c>
      <c r="S340" s="39"/>
      <c r="T340" s="41">
        <v>1359</v>
      </c>
    </row>
    <row r="341" spans="2:20" ht="15.6" x14ac:dyDescent="0.3">
      <c r="B341" s="60">
        <f>+B340+1</f>
        <v>6</v>
      </c>
      <c r="C341" s="60" t="s">
        <v>535</v>
      </c>
      <c r="D341" s="34" t="s">
        <v>536</v>
      </c>
      <c r="E341" s="35">
        <v>45838</v>
      </c>
      <c r="F341" s="36">
        <v>340.685</v>
      </c>
      <c r="G341" s="37">
        <v>10</v>
      </c>
      <c r="H341" s="38">
        <f t="shared" si="47"/>
        <v>34.0685</v>
      </c>
      <c r="I341" s="36">
        <v>5896.86</v>
      </c>
      <c r="J341" s="36">
        <v>12014.782999999999</v>
      </c>
      <c r="K341" s="36">
        <v>6162.2780000000002</v>
      </c>
      <c r="L341" s="36">
        <v>448.48099999999999</v>
      </c>
      <c r="M341" s="36">
        <v>-1699.5530000000001</v>
      </c>
      <c r="N341" s="38">
        <f t="shared" si="48"/>
        <v>-173.17100000000005</v>
      </c>
      <c r="O341" s="36">
        <v>-1526.3820000000001</v>
      </c>
      <c r="P341" s="39">
        <v>0</v>
      </c>
      <c r="Q341" s="39">
        <v>0</v>
      </c>
      <c r="R341" s="40">
        <f t="shared" si="49"/>
        <v>0</v>
      </c>
      <c r="S341" s="39"/>
      <c r="T341" s="41">
        <v>717</v>
      </c>
    </row>
    <row r="342" spans="2:20" ht="15.6" x14ac:dyDescent="0.3">
      <c r="B342" s="62"/>
      <c r="C342" s="62"/>
      <c r="D342" s="64"/>
      <c r="E342" s="65"/>
      <c r="F342" s="66"/>
      <c r="G342" s="43"/>
      <c r="H342" s="67"/>
      <c r="I342" s="66"/>
      <c r="J342" s="66"/>
      <c r="K342" s="66"/>
      <c r="L342" s="66"/>
      <c r="M342" s="66"/>
      <c r="N342" s="67"/>
      <c r="O342" s="66"/>
      <c r="P342" s="68"/>
      <c r="Q342" s="68"/>
      <c r="R342" s="69"/>
      <c r="S342" s="68"/>
      <c r="T342" s="70"/>
    </row>
    <row r="343" spans="2:20" ht="18" x14ac:dyDescent="0.35">
      <c r="B343" s="28"/>
      <c r="C343" s="28"/>
      <c r="D343" s="56" t="s">
        <v>30</v>
      </c>
      <c r="E343" s="28"/>
      <c r="F343" s="28"/>
      <c r="G343" s="43"/>
      <c r="H343" s="44"/>
      <c r="I343" s="30"/>
      <c r="J343" s="30"/>
      <c r="K343" s="30"/>
      <c r="L343" s="30"/>
      <c r="M343" s="30"/>
      <c r="N343" s="45"/>
      <c r="O343" s="30"/>
      <c r="P343" s="30"/>
      <c r="Q343" s="30"/>
      <c r="R343" s="45"/>
      <c r="S343" s="30"/>
      <c r="T343" s="30"/>
    </row>
    <row r="344" spans="2:20" ht="15.6" x14ac:dyDescent="0.3">
      <c r="B344" s="60">
        <v>1</v>
      </c>
      <c r="C344" s="33" t="s">
        <v>537</v>
      </c>
      <c r="D344" s="34" t="s">
        <v>538</v>
      </c>
      <c r="E344" s="35">
        <v>45838</v>
      </c>
      <c r="F344" s="36">
        <v>134.09549999999999</v>
      </c>
      <c r="G344" s="37">
        <v>10</v>
      </c>
      <c r="H344" s="38">
        <f>+F344/G344</f>
        <v>13.409549999999999</v>
      </c>
      <c r="I344" s="36">
        <v>592.53172500000005</v>
      </c>
      <c r="J344" s="36">
        <v>2955.028957</v>
      </c>
      <c r="K344" s="36">
        <v>0</v>
      </c>
      <c r="L344" s="36">
        <v>0</v>
      </c>
      <c r="M344" s="36">
        <v>-138.94028599999999</v>
      </c>
      <c r="N344" s="38">
        <f>+M344-O344</f>
        <v>0</v>
      </c>
      <c r="O344" s="36">
        <v>-138.94028599999999</v>
      </c>
      <c r="P344" s="39">
        <v>0</v>
      </c>
      <c r="Q344" s="39">
        <v>0</v>
      </c>
      <c r="R344" s="40">
        <f>SUM(P344:Q344)</f>
        <v>0</v>
      </c>
      <c r="S344" s="39"/>
      <c r="T344" s="41">
        <v>708</v>
      </c>
    </row>
    <row r="345" spans="2:20" ht="15.6" x14ac:dyDescent="0.3">
      <c r="B345" s="60">
        <f>+B344+1</f>
        <v>2</v>
      </c>
      <c r="C345" s="60" t="s">
        <v>539</v>
      </c>
      <c r="D345" s="34" t="s">
        <v>540</v>
      </c>
      <c r="E345" s="35">
        <v>45838</v>
      </c>
      <c r="F345" s="36">
        <v>3663.2108499999999</v>
      </c>
      <c r="G345" s="37">
        <v>10</v>
      </c>
      <c r="H345" s="38">
        <f>+F345/G345</f>
        <v>366.32108499999998</v>
      </c>
      <c r="I345" s="36">
        <v>-17874.082999999999</v>
      </c>
      <c r="J345" s="36">
        <v>4580.5709999999999</v>
      </c>
      <c r="K345" s="36">
        <v>0</v>
      </c>
      <c r="L345" s="36">
        <v>143.81100000000001</v>
      </c>
      <c r="M345" s="36">
        <v>-426.63200000000001</v>
      </c>
      <c r="N345" s="38">
        <f>+M345-O345</f>
        <v>-46.59899999999999</v>
      </c>
      <c r="O345" s="36">
        <v>-380.03300000000002</v>
      </c>
      <c r="P345" s="39">
        <v>0</v>
      </c>
      <c r="Q345" s="39">
        <v>0</v>
      </c>
      <c r="R345" s="40">
        <f>SUM(P345:Q345)</f>
        <v>0</v>
      </c>
      <c r="S345" s="39"/>
      <c r="T345" s="41">
        <v>20961</v>
      </c>
    </row>
    <row r="346" spans="2:20" ht="15.6" x14ac:dyDescent="0.3">
      <c r="B346" s="60">
        <f>+B345+1</f>
        <v>3</v>
      </c>
      <c r="C346" s="60" t="s">
        <v>541</v>
      </c>
      <c r="D346" s="34" t="s">
        <v>542</v>
      </c>
      <c r="E346" s="35">
        <v>45838</v>
      </c>
      <c r="F346" s="36"/>
      <c r="G346" s="37">
        <v>10</v>
      </c>
      <c r="H346" s="38">
        <f>+F346/G346</f>
        <v>0</v>
      </c>
      <c r="I346" s="36"/>
      <c r="J346" s="36"/>
      <c r="K346" s="36"/>
      <c r="L346" s="36"/>
      <c r="M346" s="36"/>
      <c r="N346" s="38">
        <f>+M346-O346</f>
        <v>0</v>
      </c>
      <c r="O346" s="36"/>
      <c r="P346" s="39"/>
      <c r="Q346" s="39"/>
      <c r="R346" s="40">
        <f>SUM(P346:Q346)</f>
        <v>0</v>
      </c>
      <c r="S346" s="39"/>
      <c r="T346" s="41"/>
    </row>
    <row r="347" spans="2:20" ht="15.6" x14ac:dyDescent="0.3">
      <c r="B347" s="60">
        <f>+B346+1</f>
        <v>4</v>
      </c>
      <c r="C347" s="60" t="s">
        <v>543</v>
      </c>
      <c r="D347" s="34" t="s">
        <v>544</v>
      </c>
      <c r="E347" s="35">
        <v>45838</v>
      </c>
      <c r="F347" s="36">
        <v>150</v>
      </c>
      <c r="G347" s="37">
        <v>10</v>
      </c>
      <c r="H347" s="38">
        <f>+F347/G347</f>
        <v>15</v>
      </c>
      <c r="I347" s="36">
        <v>922.09012399999995</v>
      </c>
      <c r="J347" s="36">
        <v>1526.4102800000001</v>
      </c>
      <c r="K347" s="36">
        <v>85.218210999999997</v>
      </c>
      <c r="L347" s="36">
        <v>0.23669799999999999</v>
      </c>
      <c r="M347" s="36">
        <v>-17.228899999999999</v>
      </c>
      <c r="N347" s="38">
        <f>+M347-O347</f>
        <v>-2.0593439999999994</v>
      </c>
      <c r="O347" s="36">
        <v>-15.169556</v>
      </c>
      <c r="P347" s="39">
        <v>0</v>
      </c>
      <c r="Q347" s="39">
        <v>0</v>
      </c>
      <c r="R347" s="40">
        <f>SUM(P347:Q347)</f>
        <v>0</v>
      </c>
      <c r="S347" s="39"/>
      <c r="T347" s="41"/>
    </row>
    <row r="348" spans="2:20" ht="15.6" x14ac:dyDescent="0.3">
      <c r="B348" s="62"/>
      <c r="C348" s="62"/>
      <c r="D348" s="64"/>
      <c r="E348" s="65"/>
      <c r="F348" s="66"/>
      <c r="G348" s="43"/>
      <c r="H348" s="67"/>
      <c r="I348" s="66"/>
      <c r="J348" s="66"/>
      <c r="K348" s="66"/>
      <c r="L348" s="66"/>
      <c r="M348" s="66"/>
      <c r="N348" s="67"/>
      <c r="O348" s="66"/>
      <c r="P348" s="68"/>
      <c r="Q348" s="68"/>
      <c r="R348" s="69"/>
      <c r="S348" s="68"/>
      <c r="T348" s="70"/>
    </row>
    <row r="349" spans="2:20" ht="15.6" x14ac:dyDescent="0.3">
      <c r="B349" s="47">
        <f>COUNT(B336:B348)</f>
        <v>10</v>
      </c>
      <c r="C349" s="47"/>
      <c r="D349" s="48"/>
      <c r="E349" s="48"/>
      <c r="F349" s="48">
        <f>SUM(F336:F348)</f>
        <v>9221.4991900000005</v>
      </c>
      <c r="G349" s="49"/>
      <c r="H349" s="50">
        <f>SUM(H336:H348)</f>
        <v>922.14991899999995</v>
      </c>
      <c r="I349" s="48">
        <f>SUM(I336:I348)</f>
        <v>10892.978759000003</v>
      </c>
      <c r="J349" s="48">
        <f>SUM(J336:J348)</f>
        <v>75136.113023999991</v>
      </c>
      <c r="K349" s="48">
        <f>SUM(K336:K348)</f>
        <v>55546.885837000002</v>
      </c>
      <c r="L349" s="48">
        <f>SUM(L336:L348)</f>
        <v>2960.7111430000004</v>
      </c>
      <c r="M349" s="48">
        <f>SUM(M336:M348)</f>
        <v>-2831.4702600000001</v>
      </c>
      <c r="N349" s="51">
        <f>SUM(N336:N348)</f>
        <v>237.834766</v>
      </c>
      <c r="O349" s="48">
        <f>SUM(O336:O348)</f>
        <v>-3069.3050259999995</v>
      </c>
      <c r="P349" s="52"/>
      <c r="Q349" s="52"/>
      <c r="R349" s="53"/>
      <c r="S349" s="52"/>
      <c r="T349" s="54">
        <f>SUM(T336:T348)</f>
        <v>34302</v>
      </c>
    </row>
    <row r="350" spans="2:20" ht="15.6" x14ac:dyDescent="0.3">
      <c r="B350" s="62"/>
      <c r="C350" s="62"/>
      <c r="D350" s="64"/>
      <c r="E350" s="65"/>
      <c r="F350" s="66"/>
      <c r="G350" s="43"/>
      <c r="H350" s="67"/>
      <c r="I350" s="66"/>
      <c r="J350" s="66"/>
      <c r="K350" s="66"/>
      <c r="L350" s="66"/>
      <c r="M350" s="66"/>
      <c r="N350" s="67"/>
      <c r="O350" s="66"/>
      <c r="P350" s="68"/>
      <c r="Q350" s="68"/>
      <c r="R350" s="69"/>
      <c r="S350" s="68"/>
      <c r="T350" s="70"/>
    </row>
    <row r="351" spans="2:20" ht="15.6" x14ac:dyDescent="0.3">
      <c r="B351" s="62"/>
      <c r="C351" s="62"/>
      <c r="D351" s="64"/>
      <c r="E351" s="65"/>
      <c r="F351" s="66"/>
      <c r="G351" s="43"/>
      <c r="H351" s="67"/>
      <c r="I351" s="66"/>
      <c r="J351" s="66"/>
      <c r="K351" s="66"/>
      <c r="L351" s="66"/>
      <c r="M351" s="66"/>
      <c r="N351" s="67"/>
      <c r="O351" s="66"/>
      <c r="P351" s="68"/>
      <c r="Q351" s="68"/>
      <c r="R351" s="69"/>
      <c r="S351" s="68"/>
      <c r="T351" s="70"/>
    </row>
    <row r="352" spans="2:20" ht="18" x14ac:dyDescent="0.35">
      <c r="B352" s="28"/>
      <c r="C352" s="32">
        <v>13</v>
      </c>
      <c r="D352" s="32" t="s">
        <v>545</v>
      </c>
      <c r="E352" s="61"/>
      <c r="F352" s="61"/>
      <c r="G352" s="43"/>
      <c r="H352" s="44"/>
      <c r="I352" s="30"/>
      <c r="J352" s="30"/>
      <c r="K352" s="30"/>
      <c r="L352" s="30"/>
      <c r="M352" s="30"/>
      <c r="N352" s="45"/>
      <c r="O352" s="30"/>
      <c r="P352" s="30"/>
      <c r="Q352" s="30"/>
      <c r="R352" s="45"/>
      <c r="S352" s="30"/>
      <c r="T352" s="30"/>
    </row>
    <row r="353" spans="2:20" ht="15.6" x14ac:dyDescent="0.3">
      <c r="B353" s="62"/>
      <c r="C353" s="62"/>
      <c r="D353" s="64"/>
      <c r="E353" s="65"/>
      <c r="F353" s="66"/>
      <c r="G353" s="43"/>
      <c r="H353" s="67"/>
      <c r="I353" s="66"/>
      <c r="J353" s="66"/>
      <c r="K353" s="66"/>
      <c r="L353" s="66"/>
      <c r="M353" s="66"/>
      <c r="N353" s="67"/>
      <c r="O353" s="66"/>
      <c r="P353" s="68"/>
      <c r="Q353" s="68"/>
      <c r="R353" s="69"/>
      <c r="S353" s="68"/>
      <c r="T353" s="70"/>
    </row>
    <row r="354" spans="2:20" ht="18" x14ac:dyDescent="0.35">
      <c r="B354" s="62"/>
      <c r="C354" s="62"/>
      <c r="D354" s="56" t="s">
        <v>30</v>
      </c>
      <c r="E354" s="65"/>
      <c r="F354" s="66"/>
      <c r="G354" s="43"/>
      <c r="H354" s="67"/>
      <c r="I354" s="66"/>
      <c r="J354" s="66"/>
      <c r="K354" s="66"/>
      <c r="L354" s="66"/>
      <c r="M354" s="66"/>
      <c r="N354" s="67"/>
      <c r="O354" s="66"/>
      <c r="P354" s="68"/>
      <c r="Q354" s="68"/>
      <c r="R354" s="69"/>
      <c r="S354" s="68"/>
      <c r="T354" s="70"/>
    </row>
    <row r="355" spans="2:20" ht="15.6" x14ac:dyDescent="0.3">
      <c r="B355" s="60">
        <v>1</v>
      </c>
      <c r="C355" s="60" t="s">
        <v>546</v>
      </c>
      <c r="D355" s="34" t="s">
        <v>547</v>
      </c>
      <c r="E355" s="35">
        <v>45838</v>
      </c>
      <c r="F355" s="36">
        <v>237.63468</v>
      </c>
      <c r="G355" s="37">
        <v>10</v>
      </c>
      <c r="H355" s="38">
        <f>+F355/G355</f>
        <v>23.763468</v>
      </c>
      <c r="I355" s="36">
        <v>-203.37928600000001</v>
      </c>
      <c r="J355" s="36">
        <v>4.1721890000000004</v>
      </c>
      <c r="K355" s="36">
        <v>0</v>
      </c>
      <c r="L355" s="36">
        <v>9.2219999999999993E-3</v>
      </c>
      <c r="M355" s="36">
        <v>-7.4102290000000002</v>
      </c>
      <c r="N355" s="38">
        <f>+M355-O355</f>
        <v>0</v>
      </c>
      <c r="O355" s="36">
        <v>-7.4102290000000002</v>
      </c>
      <c r="P355" s="39">
        <v>0</v>
      </c>
      <c r="Q355" s="39">
        <v>0</v>
      </c>
      <c r="R355" s="40">
        <f>SUM(P355:Q355)</f>
        <v>0</v>
      </c>
      <c r="S355" s="39"/>
      <c r="T355" s="41">
        <v>2149</v>
      </c>
    </row>
    <row r="356" spans="2:20" ht="15.6" x14ac:dyDescent="0.3">
      <c r="B356" s="60">
        <f>+B355+1</f>
        <v>2</v>
      </c>
      <c r="C356" s="60" t="s">
        <v>548</v>
      </c>
      <c r="D356" s="34" t="s">
        <v>549</v>
      </c>
      <c r="E356" s="35">
        <v>45838</v>
      </c>
      <c r="F356" s="36">
        <v>53.328189999999999</v>
      </c>
      <c r="G356" s="37">
        <v>10</v>
      </c>
      <c r="H356" s="38">
        <f>+F356/G356</f>
        <v>5.3328189999999998</v>
      </c>
      <c r="I356" s="36">
        <v>799.91245100000003</v>
      </c>
      <c r="J356" s="36">
        <v>1698.3105820000001</v>
      </c>
      <c r="K356" s="36">
        <v>0</v>
      </c>
      <c r="L356" s="36">
        <v>2.63775</v>
      </c>
      <c r="M356" s="36">
        <v>-55.134580999999997</v>
      </c>
      <c r="N356" s="38">
        <f>+M356-O356</f>
        <v>0</v>
      </c>
      <c r="O356" s="36">
        <v>-55.134580999999997</v>
      </c>
      <c r="P356" s="39">
        <v>0</v>
      </c>
      <c r="Q356" s="39">
        <v>0</v>
      </c>
      <c r="R356" s="40">
        <f>SUM(P356:Q356)</f>
        <v>0</v>
      </c>
      <c r="S356" s="39"/>
      <c r="T356" s="41">
        <v>1437</v>
      </c>
    </row>
    <row r="357" spans="2:20" ht="15.6" x14ac:dyDescent="0.3">
      <c r="B357" s="87">
        <f>COUNT(B355:B356)</f>
        <v>2</v>
      </c>
      <c r="C357" s="47"/>
      <c r="D357" s="48"/>
      <c r="E357" s="48"/>
      <c r="F357" s="48">
        <f>SUM(F355:F356)</f>
        <v>290.96287000000001</v>
      </c>
      <c r="G357" s="49"/>
      <c r="H357" s="50">
        <f t="shared" ref="H357:O357" si="50">SUM(H355:H356)</f>
        <v>29.096287</v>
      </c>
      <c r="I357" s="48">
        <f t="shared" si="50"/>
        <v>596.53316500000005</v>
      </c>
      <c r="J357" s="48">
        <f t="shared" si="50"/>
        <v>1702.482771</v>
      </c>
      <c r="K357" s="48">
        <f t="shared" si="50"/>
        <v>0</v>
      </c>
      <c r="L357" s="48">
        <f t="shared" si="50"/>
        <v>2.6469719999999999</v>
      </c>
      <c r="M357" s="48">
        <f t="shared" si="50"/>
        <v>-62.544809999999998</v>
      </c>
      <c r="N357" s="51">
        <f t="shared" si="50"/>
        <v>0</v>
      </c>
      <c r="O357" s="48">
        <f t="shared" si="50"/>
        <v>-62.544809999999998</v>
      </c>
      <c r="P357" s="52"/>
      <c r="Q357" s="52"/>
      <c r="R357" s="53"/>
      <c r="S357" s="52"/>
      <c r="T357" s="54">
        <f>SUM(T355:T356)</f>
        <v>3586</v>
      </c>
    </row>
    <row r="358" spans="2:20" ht="15.6" x14ac:dyDescent="0.3">
      <c r="B358" s="62"/>
      <c r="C358" s="62"/>
      <c r="D358" s="64"/>
      <c r="E358" s="65"/>
      <c r="F358" s="66"/>
      <c r="G358" s="43"/>
      <c r="H358" s="67"/>
      <c r="I358" s="66"/>
      <c r="J358" s="66"/>
      <c r="K358" s="66"/>
      <c r="L358" s="66"/>
      <c r="M358" s="66"/>
      <c r="N358" s="67"/>
      <c r="O358" s="66"/>
      <c r="P358" s="68"/>
      <c r="Q358" s="68"/>
      <c r="R358" s="69"/>
      <c r="S358" s="68"/>
      <c r="T358" s="70"/>
    </row>
    <row r="359" spans="2:20" ht="15.6" x14ac:dyDescent="0.3">
      <c r="B359" s="62"/>
      <c r="C359" s="62"/>
      <c r="D359" s="64"/>
      <c r="E359" s="65"/>
      <c r="F359" s="66"/>
      <c r="G359" s="43"/>
      <c r="H359" s="67"/>
      <c r="I359" s="66"/>
      <c r="J359" s="66"/>
      <c r="K359" s="66"/>
      <c r="L359" s="66"/>
      <c r="M359" s="66"/>
      <c r="N359" s="67"/>
      <c r="O359" s="66"/>
      <c r="P359" s="68"/>
      <c r="Q359" s="68"/>
      <c r="R359" s="69"/>
      <c r="S359" s="68"/>
      <c r="T359" s="70"/>
    </row>
    <row r="360" spans="2:20" ht="18" x14ac:dyDescent="0.35">
      <c r="B360" s="28"/>
      <c r="C360" s="32">
        <v>14</v>
      </c>
      <c r="D360" s="32" t="s">
        <v>550</v>
      </c>
      <c r="E360" s="61"/>
      <c r="F360" s="61"/>
      <c r="G360" s="43"/>
      <c r="H360" s="44"/>
      <c r="I360" s="30"/>
      <c r="J360" s="30"/>
      <c r="K360" s="30"/>
      <c r="L360" s="30"/>
      <c r="M360" s="30"/>
      <c r="N360" s="45"/>
      <c r="O360" s="30"/>
      <c r="P360" s="30"/>
      <c r="Q360" s="30"/>
      <c r="R360" s="45"/>
      <c r="S360" s="30"/>
      <c r="T360" s="30"/>
    </row>
    <row r="361" spans="2:20" ht="15.6" x14ac:dyDescent="0.3">
      <c r="B361" s="62"/>
      <c r="C361" s="62"/>
      <c r="D361" s="64"/>
      <c r="E361" s="65"/>
      <c r="F361" s="66"/>
      <c r="G361" s="43"/>
      <c r="H361" s="67"/>
      <c r="I361" s="66"/>
      <c r="J361" s="66"/>
      <c r="K361" s="66"/>
      <c r="L361" s="66"/>
      <c r="M361" s="66"/>
      <c r="N361" s="67"/>
      <c r="O361" s="66"/>
      <c r="P361" s="68"/>
      <c r="Q361" s="68"/>
      <c r="R361" s="69"/>
      <c r="S361" s="68"/>
      <c r="T361" s="70"/>
    </row>
    <row r="362" spans="2:20" ht="15.6" x14ac:dyDescent="0.3">
      <c r="B362" s="33">
        <v>1</v>
      </c>
      <c r="C362" s="33" t="s">
        <v>551</v>
      </c>
      <c r="D362" s="34" t="s">
        <v>552</v>
      </c>
      <c r="E362" s="35">
        <v>45930</v>
      </c>
      <c r="F362" s="36">
        <v>173.62299999999999</v>
      </c>
      <c r="G362" s="37">
        <v>10</v>
      </c>
      <c r="H362" s="38">
        <f t="shared" ref="H362:H386" si="51">+F362/G362</f>
        <v>17.362299999999998</v>
      </c>
      <c r="I362" s="36">
        <v>8394.5020000000004</v>
      </c>
      <c r="J362" s="36">
        <v>13903.797</v>
      </c>
      <c r="K362" s="36">
        <v>15611.723</v>
      </c>
      <c r="L362" s="36">
        <v>231.28299999999999</v>
      </c>
      <c r="M362" s="36">
        <v>1856.9269999999999</v>
      </c>
      <c r="N362" s="38">
        <f t="shared" ref="N362:N386" si="52">+M362-O362</f>
        <v>586.56499999999983</v>
      </c>
      <c r="O362" s="36">
        <v>1270.3620000000001</v>
      </c>
      <c r="P362" s="39">
        <f>120+250+130</f>
        <v>500</v>
      </c>
      <c r="Q362" s="39">
        <v>0</v>
      </c>
      <c r="R362" s="40">
        <f t="shared" ref="R362:R386" si="53">SUM(P362:Q362)</f>
        <v>500</v>
      </c>
      <c r="S362" s="39"/>
      <c r="T362" s="41">
        <v>1225</v>
      </c>
    </row>
    <row r="363" spans="2:20" ht="15.6" x14ac:dyDescent="0.3">
      <c r="B363" s="33">
        <f>+B362+1</f>
        <v>2</v>
      </c>
      <c r="C363" s="33" t="s">
        <v>553</v>
      </c>
      <c r="D363" s="46" t="s">
        <v>554</v>
      </c>
      <c r="E363" s="35">
        <v>45930</v>
      </c>
      <c r="F363" s="36">
        <v>172.90961999999999</v>
      </c>
      <c r="G363" s="37">
        <v>10</v>
      </c>
      <c r="H363" s="38">
        <f t="shared" si="51"/>
        <v>17.290962</v>
      </c>
      <c r="I363" s="36">
        <v>5097.5167949999995</v>
      </c>
      <c r="J363" s="36">
        <v>8531.6865190000008</v>
      </c>
      <c r="K363" s="36">
        <v>10841.042745000001</v>
      </c>
      <c r="L363" s="36">
        <v>289.54505699999999</v>
      </c>
      <c r="M363" s="36">
        <v>89.293986000000004</v>
      </c>
      <c r="N363" s="38">
        <f t="shared" si="52"/>
        <v>43.160149000000004</v>
      </c>
      <c r="O363" s="36">
        <v>46.133837</v>
      </c>
      <c r="P363" s="39">
        <v>40</v>
      </c>
      <c r="Q363" s="39">
        <v>0</v>
      </c>
      <c r="R363" s="40">
        <f t="shared" si="53"/>
        <v>40</v>
      </c>
      <c r="S363" s="39"/>
      <c r="T363" s="41"/>
    </row>
    <row r="364" spans="2:20" ht="15.6" x14ac:dyDescent="0.3">
      <c r="B364" s="33">
        <f t="shared" ref="B364:B383" si="54">+B363+1</f>
        <v>3</v>
      </c>
      <c r="C364" s="33" t="s">
        <v>555</v>
      </c>
      <c r="D364" s="34" t="s">
        <v>556</v>
      </c>
      <c r="E364" s="35">
        <v>45930</v>
      </c>
      <c r="F364" s="36">
        <v>792.61666000000002</v>
      </c>
      <c r="G364" s="37">
        <v>10</v>
      </c>
      <c r="H364" s="38">
        <f t="shared" si="51"/>
        <v>79.261666000000005</v>
      </c>
      <c r="I364" s="36">
        <v>-956.22948299999996</v>
      </c>
      <c r="J364" s="36">
        <v>3295.5983339999998</v>
      </c>
      <c r="K364" s="36">
        <v>273.71357</v>
      </c>
      <c r="L364" s="36">
        <v>150.198913</v>
      </c>
      <c r="M364" s="36">
        <v>-398.77225199999998</v>
      </c>
      <c r="N364" s="38">
        <f t="shared" si="52"/>
        <v>-88.056066999999985</v>
      </c>
      <c r="O364" s="36">
        <v>-310.716185</v>
      </c>
      <c r="P364" s="39">
        <v>0</v>
      </c>
      <c r="Q364" s="39">
        <v>0</v>
      </c>
      <c r="R364" s="40">
        <f t="shared" si="53"/>
        <v>0</v>
      </c>
      <c r="S364" s="39"/>
      <c r="T364" s="41">
        <v>2667</v>
      </c>
    </row>
    <row r="365" spans="2:20" ht="15.6" x14ac:dyDescent="0.3">
      <c r="B365" s="33">
        <f t="shared" si="54"/>
        <v>4</v>
      </c>
      <c r="C365" s="33" t="s">
        <v>557</v>
      </c>
      <c r="D365" s="34" t="s">
        <v>558</v>
      </c>
      <c r="E365" s="35">
        <v>45930</v>
      </c>
      <c r="F365" s="36">
        <v>561.36554999999998</v>
      </c>
      <c r="G365" s="37">
        <v>10</v>
      </c>
      <c r="H365" s="38">
        <f>+F365/G365</f>
        <v>56.136555000000001</v>
      </c>
      <c r="I365" s="36">
        <v>2671.4671880000001</v>
      </c>
      <c r="J365" s="36">
        <v>14626.136512999999</v>
      </c>
      <c r="K365" s="36">
        <v>1672.291125</v>
      </c>
      <c r="L365" s="36">
        <v>668.43704100000002</v>
      </c>
      <c r="M365" s="36">
        <v>-559.46230700000001</v>
      </c>
      <c r="N365" s="38">
        <f>+M365-O365</f>
        <v>884.20793000000003</v>
      </c>
      <c r="O365" s="36">
        <v>-1443.670237</v>
      </c>
      <c r="P365" s="39">
        <v>0</v>
      </c>
      <c r="Q365" s="39">
        <v>0</v>
      </c>
      <c r="R365" s="40">
        <f>SUM(P365:Q365)</f>
        <v>0</v>
      </c>
      <c r="S365" s="39"/>
      <c r="T365" s="41">
        <v>2557</v>
      </c>
    </row>
    <row r="366" spans="2:20" ht="15.6" x14ac:dyDescent="0.3">
      <c r="B366" s="33">
        <f t="shared" si="54"/>
        <v>5</v>
      </c>
      <c r="C366" s="33" t="s">
        <v>559</v>
      </c>
      <c r="D366" s="34" t="s">
        <v>560</v>
      </c>
      <c r="E366" s="35">
        <v>45930</v>
      </c>
      <c r="F366" s="36">
        <v>204.73702</v>
      </c>
      <c r="G366" s="37">
        <v>10</v>
      </c>
      <c r="H366" s="38">
        <f t="shared" si="51"/>
        <v>20.473701999999999</v>
      </c>
      <c r="I366" s="36">
        <v>7149.9430000000002</v>
      </c>
      <c r="J366" s="36">
        <v>16305.079</v>
      </c>
      <c r="K366" s="36">
        <v>17916.300999999999</v>
      </c>
      <c r="L366" s="36">
        <v>992.16300000000001</v>
      </c>
      <c r="M366" s="36">
        <v>169.71600000000001</v>
      </c>
      <c r="N366" s="38">
        <f t="shared" si="52"/>
        <v>62.265000000000015</v>
      </c>
      <c r="O366" s="36">
        <v>107.45099999999999</v>
      </c>
      <c r="P366" s="39">
        <v>40</v>
      </c>
      <c r="Q366" s="39">
        <v>0</v>
      </c>
      <c r="R366" s="40">
        <f t="shared" si="53"/>
        <v>40</v>
      </c>
      <c r="S366" s="39"/>
      <c r="T366" s="41">
        <v>1206</v>
      </c>
    </row>
    <row r="367" spans="2:20" ht="15.6" x14ac:dyDescent="0.3">
      <c r="B367" s="33">
        <f t="shared" si="54"/>
        <v>6</v>
      </c>
      <c r="C367" s="33" t="s">
        <v>561</v>
      </c>
      <c r="D367" s="34" t="s">
        <v>562</v>
      </c>
      <c r="E367" s="35">
        <v>45930</v>
      </c>
      <c r="F367" s="36">
        <v>94.5</v>
      </c>
      <c r="G367" s="37">
        <v>10</v>
      </c>
      <c r="H367" s="38">
        <f t="shared" si="51"/>
        <v>9.4499999999999993</v>
      </c>
      <c r="I367" s="36">
        <v>5253.8571620000002</v>
      </c>
      <c r="J367" s="36">
        <v>6505.2883149999998</v>
      </c>
      <c r="K367" s="36">
        <v>10246.168253</v>
      </c>
      <c r="L367" s="36">
        <v>430.44247999999999</v>
      </c>
      <c r="M367" s="36">
        <v>814.79736000000003</v>
      </c>
      <c r="N367" s="38">
        <f t="shared" si="52"/>
        <v>0</v>
      </c>
      <c r="O367" s="36">
        <v>814.79736000000003</v>
      </c>
      <c r="P367" s="39">
        <v>20</v>
      </c>
      <c r="Q367" s="39">
        <v>0</v>
      </c>
      <c r="R367" s="40">
        <f t="shared" si="53"/>
        <v>20</v>
      </c>
      <c r="S367" s="39"/>
      <c r="T367" s="41">
        <v>1174</v>
      </c>
    </row>
    <row r="368" spans="2:20" ht="15.6" x14ac:dyDescent="0.3">
      <c r="B368" s="33">
        <f t="shared" si="54"/>
        <v>7</v>
      </c>
      <c r="C368" s="33" t="s">
        <v>563</v>
      </c>
      <c r="D368" s="34" t="s">
        <v>564</v>
      </c>
      <c r="E368" s="35">
        <v>45930</v>
      </c>
      <c r="F368" s="36">
        <v>286.92</v>
      </c>
      <c r="G368" s="37">
        <v>10</v>
      </c>
      <c r="H368" s="38">
        <f t="shared" si="51"/>
        <v>28.692</v>
      </c>
      <c r="I368" s="36">
        <v>10211.934999999999</v>
      </c>
      <c r="J368" s="36">
        <v>33918.974000000002</v>
      </c>
      <c r="K368" s="36">
        <v>24899.377</v>
      </c>
      <c r="L368" s="36">
        <v>3346.7739999999999</v>
      </c>
      <c r="M368" s="36">
        <v>-3731.4749999999999</v>
      </c>
      <c r="N368" s="38">
        <f t="shared" si="52"/>
        <v>-782.88499999999976</v>
      </c>
      <c r="O368" s="36">
        <v>-2948.59</v>
      </c>
      <c r="P368" s="39">
        <v>0</v>
      </c>
      <c r="Q368" s="39">
        <v>0</v>
      </c>
      <c r="R368" s="40">
        <f t="shared" si="53"/>
        <v>0</v>
      </c>
      <c r="S368" s="39"/>
      <c r="T368" s="41">
        <v>1014</v>
      </c>
    </row>
    <row r="369" spans="2:20" ht="15.6" x14ac:dyDescent="0.3">
      <c r="B369" s="33">
        <f t="shared" si="54"/>
        <v>8</v>
      </c>
      <c r="C369" s="33" t="s">
        <v>565</v>
      </c>
      <c r="D369" s="34" t="s">
        <v>566</v>
      </c>
      <c r="E369" s="35">
        <v>45930</v>
      </c>
      <c r="F369" s="36">
        <v>395.10988900000001</v>
      </c>
      <c r="G369" s="37">
        <v>10</v>
      </c>
      <c r="H369" s="38">
        <f t="shared" si="51"/>
        <v>39.510988900000001</v>
      </c>
      <c r="I369" s="36">
        <v>2177.8927319999998</v>
      </c>
      <c r="J369" s="36">
        <v>5978.5807919999997</v>
      </c>
      <c r="K369" s="36">
        <v>11967.089302</v>
      </c>
      <c r="L369" s="36">
        <v>801.226677</v>
      </c>
      <c r="M369" s="36">
        <v>24.331630000000001</v>
      </c>
      <c r="N369" s="38">
        <f t="shared" si="52"/>
        <v>-230.359838</v>
      </c>
      <c r="O369" s="36">
        <v>254.69146799999999</v>
      </c>
      <c r="P369" s="39">
        <v>0</v>
      </c>
      <c r="Q369" s="39">
        <v>0</v>
      </c>
      <c r="R369" s="40">
        <f t="shared" si="53"/>
        <v>0</v>
      </c>
      <c r="S369" s="39"/>
      <c r="T369" s="41">
        <v>2180</v>
      </c>
    </row>
    <row r="370" spans="2:20" ht="15.6" x14ac:dyDescent="0.3">
      <c r="B370" s="33">
        <f t="shared" si="54"/>
        <v>9</v>
      </c>
      <c r="C370" s="33" t="s">
        <v>567</v>
      </c>
      <c r="D370" s="34" t="s">
        <v>568</v>
      </c>
      <c r="E370" s="35">
        <v>45930</v>
      </c>
      <c r="F370" s="36">
        <v>675</v>
      </c>
      <c r="G370" s="37">
        <v>5</v>
      </c>
      <c r="H370" s="38">
        <f t="shared" si="51"/>
        <v>135</v>
      </c>
      <c r="I370" s="36">
        <v>17443.422999999999</v>
      </c>
      <c r="J370" s="36">
        <v>23502.416000000001</v>
      </c>
      <c r="K370" s="36">
        <v>21731.776000000002</v>
      </c>
      <c r="L370" s="36">
        <v>84.159000000000006</v>
      </c>
      <c r="M370" s="36">
        <v>2734.6469999999999</v>
      </c>
      <c r="N370" s="38">
        <f t="shared" si="52"/>
        <v>1178.875</v>
      </c>
      <c r="O370" s="36">
        <v>1555.7719999999999</v>
      </c>
      <c r="P370" s="39">
        <v>120</v>
      </c>
      <c r="Q370" s="39">
        <v>0</v>
      </c>
      <c r="R370" s="40">
        <f t="shared" si="53"/>
        <v>120</v>
      </c>
      <c r="S370" s="39"/>
      <c r="T370" s="41">
        <v>4482</v>
      </c>
    </row>
    <row r="371" spans="2:20" ht="15.6" x14ac:dyDescent="0.3">
      <c r="B371" s="33">
        <f t="shared" si="54"/>
        <v>10</v>
      </c>
      <c r="C371" s="33" t="s">
        <v>569</v>
      </c>
      <c r="D371" s="34" t="s">
        <v>570</v>
      </c>
      <c r="E371" s="35">
        <v>45838</v>
      </c>
      <c r="F371" s="36">
        <v>200</v>
      </c>
      <c r="G371" s="37">
        <v>5</v>
      </c>
      <c r="H371" s="38">
        <f t="shared" si="51"/>
        <v>40</v>
      </c>
      <c r="I371" s="36">
        <v>793.70160899999996</v>
      </c>
      <c r="J371" s="36">
        <v>1383.579459</v>
      </c>
      <c r="K371" s="36">
        <v>2136.2810899999999</v>
      </c>
      <c r="L371" s="36">
        <v>7.5625929999999997</v>
      </c>
      <c r="M371" s="36">
        <v>-149.37061600000001</v>
      </c>
      <c r="N371" s="38">
        <f t="shared" si="52"/>
        <v>6.3413789999999892</v>
      </c>
      <c r="O371" s="36">
        <v>-155.711995</v>
      </c>
      <c r="P371" s="39">
        <v>0</v>
      </c>
      <c r="Q371" s="39">
        <v>0</v>
      </c>
      <c r="R371" s="40">
        <f t="shared" si="53"/>
        <v>0</v>
      </c>
      <c r="S371" s="39"/>
      <c r="T371" s="41">
        <v>2279</v>
      </c>
    </row>
    <row r="372" spans="2:20" ht="15.6" x14ac:dyDescent="0.3">
      <c r="B372" s="33">
        <f t="shared" si="54"/>
        <v>11</v>
      </c>
      <c r="C372" s="33" t="s">
        <v>571</v>
      </c>
      <c r="D372" s="34" t="s">
        <v>572</v>
      </c>
      <c r="E372" s="35">
        <v>45930</v>
      </c>
      <c r="F372" s="36">
        <v>577.76661000000001</v>
      </c>
      <c r="G372" s="37">
        <v>10</v>
      </c>
      <c r="H372" s="38">
        <f t="shared" si="51"/>
        <v>57.776661000000004</v>
      </c>
      <c r="I372" s="36">
        <v>30650.158541000001</v>
      </c>
      <c r="J372" s="36">
        <v>77893.721369000006</v>
      </c>
      <c r="K372" s="36">
        <v>114732.441616</v>
      </c>
      <c r="L372" s="36">
        <v>5566.9976200000001</v>
      </c>
      <c r="M372" s="36">
        <v>5478.5869910000001</v>
      </c>
      <c r="N372" s="38">
        <f t="shared" si="52"/>
        <v>-934.15168199999971</v>
      </c>
      <c r="O372" s="36">
        <v>6412.7386729999998</v>
      </c>
      <c r="P372" s="39">
        <f>200+250</f>
        <v>450</v>
      </c>
      <c r="Q372" s="39">
        <v>0</v>
      </c>
      <c r="R372" s="40">
        <f t="shared" si="53"/>
        <v>450</v>
      </c>
      <c r="S372" s="39"/>
      <c r="T372" s="41">
        <v>1522</v>
      </c>
    </row>
    <row r="373" spans="2:20" ht="15.6" x14ac:dyDescent="0.3">
      <c r="B373" s="33">
        <f t="shared" si="54"/>
        <v>12</v>
      </c>
      <c r="C373" s="33" t="s">
        <v>573</v>
      </c>
      <c r="D373" s="34" t="s">
        <v>574</v>
      </c>
      <c r="E373" s="35">
        <v>45930</v>
      </c>
      <c r="F373" s="36">
        <v>341.28453999999999</v>
      </c>
      <c r="G373" s="37">
        <v>10</v>
      </c>
      <c r="H373" s="38">
        <f t="shared" si="51"/>
        <v>34.128453999999998</v>
      </c>
      <c r="I373" s="36">
        <v>10668.656918000001</v>
      </c>
      <c r="J373" s="36">
        <v>3866.7024120000001</v>
      </c>
      <c r="K373" s="36">
        <v>10727.499449000001</v>
      </c>
      <c r="L373" s="36">
        <v>649.71345899999994</v>
      </c>
      <c r="M373" s="36">
        <v>385.23084299999999</v>
      </c>
      <c r="N373" s="38">
        <f t="shared" si="52"/>
        <v>135.21840399999999</v>
      </c>
      <c r="O373" s="36">
        <v>250.012439</v>
      </c>
      <c r="P373" s="39">
        <v>0</v>
      </c>
      <c r="Q373" s="39">
        <v>0</v>
      </c>
      <c r="R373" s="40">
        <f t="shared" si="53"/>
        <v>0</v>
      </c>
      <c r="S373" s="39"/>
      <c r="T373" s="41">
        <v>1272</v>
      </c>
    </row>
    <row r="374" spans="2:20" ht="15.6" x14ac:dyDescent="0.3">
      <c r="B374" s="33">
        <f t="shared" si="54"/>
        <v>13</v>
      </c>
      <c r="C374" s="33" t="s">
        <v>575</v>
      </c>
      <c r="D374" s="34" t="s">
        <v>576</v>
      </c>
      <c r="E374" s="35">
        <v>45930</v>
      </c>
      <c r="F374" s="36">
        <v>160.17500000000001</v>
      </c>
      <c r="G374" s="37">
        <v>10</v>
      </c>
      <c r="H374" s="38">
        <f t="shared" si="51"/>
        <v>16.017500000000002</v>
      </c>
      <c r="I374" s="36">
        <v>5002.6620000000003</v>
      </c>
      <c r="J374" s="36">
        <v>10678.166999999999</v>
      </c>
      <c r="K374" s="36">
        <v>11137.023999999999</v>
      </c>
      <c r="L374" s="36">
        <v>468.77300000000002</v>
      </c>
      <c r="M374" s="36">
        <v>211.95099999999999</v>
      </c>
      <c r="N374" s="38">
        <f t="shared" si="52"/>
        <v>150.43</v>
      </c>
      <c r="O374" s="36">
        <v>61.521000000000001</v>
      </c>
      <c r="P374" s="39">
        <v>0</v>
      </c>
      <c r="Q374" s="39">
        <v>0</v>
      </c>
      <c r="R374" s="40">
        <f t="shared" si="53"/>
        <v>0</v>
      </c>
      <c r="S374" s="39"/>
      <c r="T374" s="41">
        <v>465</v>
      </c>
    </row>
    <row r="375" spans="2:20" ht="15.6" x14ac:dyDescent="0.3">
      <c r="B375" s="33">
        <f t="shared" si="54"/>
        <v>14</v>
      </c>
      <c r="C375" s="33" t="s">
        <v>577</v>
      </c>
      <c r="D375" s="34" t="s">
        <v>578</v>
      </c>
      <c r="E375" s="35">
        <v>45930</v>
      </c>
      <c r="F375" s="36">
        <v>665.57888000000003</v>
      </c>
      <c r="G375" s="37">
        <v>10</v>
      </c>
      <c r="H375" s="38">
        <f t="shared" si="51"/>
        <v>66.557888000000005</v>
      </c>
      <c r="I375" s="36">
        <v>2804.8150000000001</v>
      </c>
      <c r="J375" s="36">
        <v>14002.762000000001</v>
      </c>
      <c r="K375" s="36">
        <v>12615.64</v>
      </c>
      <c r="L375" s="36">
        <v>1173.94</v>
      </c>
      <c r="M375" s="36">
        <v>-260.66300000000001</v>
      </c>
      <c r="N375" s="38">
        <f t="shared" si="52"/>
        <v>-9.6370000000000005</v>
      </c>
      <c r="O375" s="36">
        <v>-251.02600000000001</v>
      </c>
      <c r="P375" s="39">
        <v>0</v>
      </c>
      <c r="Q375" s="39">
        <v>0</v>
      </c>
      <c r="R375" s="40">
        <f t="shared" si="53"/>
        <v>0</v>
      </c>
      <c r="S375" s="36"/>
      <c r="T375" s="41">
        <v>2572</v>
      </c>
    </row>
    <row r="376" spans="2:20" ht="15.6" x14ac:dyDescent="0.3">
      <c r="B376" s="33">
        <f t="shared" si="54"/>
        <v>15</v>
      </c>
      <c r="C376" s="33" t="s">
        <v>579</v>
      </c>
      <c r="D376" s="34" t="s">
        <v>580</v>
      </c>
      <c r="E376" s="35">
        <v>45930</v>
      </c>
      <c r="F376" s="36">
        <v>749.27608999999995</v>
      </c>
      <c r="G376" s="37">
        <v>10</v>
      </c>
      <c r="H376" s="38">
        <f t="shared" si="51"/>
        <v>74.92760899999999</v>
      </c>
      <c r="I376" s="36">
        <v>4767.6627749999998</v>
      </c>
      <c r="J376" s="36">
        <v>7408.3075959999996</v>
      </c>
      <c r="K376" s="36">
        <v>13573.288288</v>
      </c>
      <c r="L376" s="36">
        <v>442.72914900000001</v>
      </c>
      <c r="M376" s="36">
        <v>2577.0939440000002</v>
      </c>
      <c r="N376" s="38">
        <f t="shared" si="52"/>
        <v>403.02632400000039</v>
      </c>
      <c r="O376" s="36">
        <v>2174.0676199999998</v>
      </c>
      <c r="P376" s="39">
        <f>10+15+30</f>
        <v>55</v>
      </c>
      <c r="Q376" s="39">
        <v>0</v>
      </c>
      <c r="R376" s="40">
        <f t="shared" si="53"/>
        <v>55</v>
      </c>
      <c r="S376" s="39"/>
      <c r="T376" s="41">
        <v>1691</v>
      </c>
    </row>
    <row r="377" spans="2:20" ht="15.6" x14ac:dyDescent="0.3">
      <c r="B377" s="33">
        <f t="shared" si="54"/>
        <v>16</v>
      </c>
      <c r="C377" s="33" t="s">
        <v>581</v>
      </c>
      <c r="D377" s="34" t="s">
        <v>582</v>
      </c>
      <c r="E377" s="35">
        <v>45930</v>
      </c>
      <c r="F377" s="36">
        <v>165.17456000000001</v>
      </c>
      <c r="G377" s="37">
        <v>10</v>
      </c>
      <c r="H377" s="38">
        <f t="shared" si="51"/>
        <v>16.517456000000003</v>
      </c>
      <c r="I377" s="36">
        <v>2055.2710000000002</v>
      </c>
      <c r="J377" s="36">
        <v>8480.5910000000003</v>
      </c>
      <c r="K377" s="36">
        <v>11744.437</v>
      </c>
      <c r="L377" s="36">
        <v>541.58799999999997</v>
      </c>
      <c r="M377" s="36">
        <v>823.01199999999994</v>
      </c>
      <c r="N377" s="38">
        <f t="shared" si="52"/>
        <v>152.10299999999995</v>
      </c>
      <c r="O377" s="36">
        <v>670.90899999999999</v>
      </c>
      <c r="P377" s="39">
        <v>40</v>
      </c>
      <c r="Q377" s="39">
        <v>0</v>
      </c>
      <c r="R377" s="40">
        <f t="shared" si="53"/>
        <v>40</v>
      </c>
      <c r="S377" s="39"/>
      <c r="T377" s="41">
        <v>1789</v>
      </c>
    </row>
    <row r="378" spans="2:20" ht="15.6" x14ac:dyDescent="0.3">
      <c r="B378" s="33">
        <f t="shared" si="54"/>
        <v>17</v>
      </c>
      <c r="C378" s="33" t="s">
        <v>583</v>
      </c>
      <c r="D378" s="34" t="s">
        <v>584</v>
      </c>
      <c r="E378" s="35">
        <v>45930</v>
      </c>
      <c r="F378" s="36">
        <v>37.5</v>
      </c>
      <c r="G378" s="37">
        <v>10</v>
      </c>
      <c r="H378" s="38">
        <f t="shared" si="51"/>
        <v>3.75</v>
      </c>
      <c r="I378" s="36">
        <v>1285.4090000000001</v>
      </c>
      <c r="J378" s="36">
        <v>5289.6180000000004</v>
      </c>
      <c r="K378" s="36">
        <v>1981.3219999999999</v>
      </c>
      <c r="L378" s="36">
        <v>311.53800000000001</v>
      </c>
      <c r="M378" s="36">
        <v>-602.9</v>
      </c>
      <c r="N378" s="38">
        <f t="shared" si="52"/>
        <v>-12.965000000000032</v>
      </c>
      <c r="O378" s="36">
        <v>-589.93499999999995</v>
      </c>
      <c r="P378" s="39">
        <v>0</v>
      </c>
      <c r="Q378" s="39">
        <v>0</v>
      </c>
      <c r="R378" s="40">
        <f t="shared" si="53"/>
        <v>0</v>
      </c>
      <c r="S378" s="39"/>
      <c r="T378" s="41">
        <v>931</v>
      </c>
    </row>
    <row r="379" spans="2:20" ht="15.6" x14ac:dyDescent="0.3">
      <c r="B379" s="33">
        <f t="shared" si="54"/>
        <v>18</v>
      </c>
      <c r="C379" s="33" t="s">
        <v>585</v>
      </c>
      <c r="D379" s="34" t="s">
        <v>586</v>
      </c>
      <c r="E379" s="35">
        <v>45930</v>
      </c>
      <c r="F379" s="36">
        <v>119.46</v>
      </c>
      <c r="G379" s="37">
        <v>10</v>
      </c>
      <c r="H379" s="38">
        <f t="shared" si="51"/>
        <v>11.946</v>
      </c>
      <c r="I379" s="36">
        <v>3122.9830000000002</v>
      </c>
      <c r="J379" s="36">
        <v>6019.9539999999997</v>
      </c>
      <c r="K379" s="36">
        <v>6739.085</v>
      </c>
      <c r="L379" s="36">
        <v>157.524</v>
      </c>
      <c r="M379" s="36">
        <v>245.59800000000001</v>
      </c>
      <c r="N379" s="38">
        <f t="shared" si="52"/>
        <v>102.91200000000001</v>
      </c>
      <c r="O379" s="36">
        <v>142.68600000000001</v>
      </c>
      <c r="P379" s="39">
        <v>0</v>
      </c>
      <c r="Q379" s="39">
        <v>0</v>
      </c>
      <c r="R379" s="40">
        <f t="shared" si="53"/>
        <v>0</v>
      </c>
      <c r="S379" s="39"/>
      <c r="T379" s="41">
        <v>1348</v>
      </c>
    </row>
    <row r="380" spans="2:20" ht="15.6" x14ac:dyDescent="0.3">
      <c r="B380" s="33">
        <f t="shared" si="54"/>
        <v>19</v>
      </c>
      <c r="C380" s="33" t="s">
        <v>587</v>
      </c>
      <c r="D380" s="34" t="s">
        <v>588</v>
      </c>
      <c r="E380" s="35">
        <v>45930</v>
      </c>
      <c r="F380" s="36">
        <v>104.25</v>
      </c>
      <c r="G380" s="37">
        <v>10</v>
      </c>
      <c r="H380" s="38">
        <f t="shared" si="51"/>
        <v>10.425000000000001</v>
      </c>
      <c r="I380" s="36">
        <v>3176.5939210000001</v>
      </c>
      <c r="J380" s="36">
        <v>6656.4236979999996</v>
      </c>
      <c r="K380" s="36">
        <v>6195.7760710000002</v>
      </c>
      <c r="L380" s="36">
        <v>260.20558599999998</v>
      </c>
      <c r="M380" s="36">
        <v>144.228769</v>
      </c>
      <c r="N380" s="38">
        <f t="shared" si="52"/>
        <v>4.256463999999994</v>
      </c>
      <c r="O380" s="36">
        <v>139.97230500000001</v>
      </c>
      <c r="P380" s="39">
        <v>20</v>
      </c>
      <c r="Q380" s="39">
        <v>0</v>
      </c>
      <c r="R380" s="40">
        <f t="shared" si="53"/>
        <v>20</v>
      </c>
      <c r="S380" s="39"/>
      <c r="T380" s="41">
        <v>1803</v>
      </c>
    </row>
    <row r="381" spans="2:20" ht="15.6" x14ac:dyDescent="0.3">
      <c r="B381" s="33">
        <f t="shared" si="54"/>
        <v>20</v>
      </c>
      <c r="C381" s="33" t="s">
        <v>589</v>
      </c>
      <c r="D381" s="34" t="s">
        <v>590</v>
      </c>
      <c r="E381" s="35">
        <v>45930</v>
      </c>
      <c r="F381" s="36">
        <v>120.11199999999999</v>
      </c>
      <c r="G381" s="37">
        <v>10</v>
      </c>
      <c r="H381" s="38">
        <f t="shared" si="51"/>
        <v>12.011199999999999</v>
      </c>
      <c r="I381" s="36">
        <v>3343.29</v>
      </c>
      <c r="J381" s="36">
        <v>8393.3709999999992</v>
      </c>
      <c r="K381" s="36">
        <v>8648.7720000000008</v>
      </c>
      <c r="L381" s="36">
        <v>373.512</v>
      </c>
      <c r="M381" s="36">
        <v>61.392000000000003</v>
      </c>
      <c r="N381" s="38">
        <f t="shared" si="52"/>
        <v>28.713000000000001</v>
      </c>
      <c r="O381" s="36">
        <v>32.679000000000002</v>
      </c>
      <c r="P381" s="39">
        <v>12.5</v>
      </c>
      <c r="Q381" s="39">
        <v>0</v>
      </c>
      <c r="R381" s="40">
        <f t="shared" si="53"/>
        <v>12.5</v>
      </c>
      <c r="S381" s="39"/>
      <c r="T381" s="41">
        <v>693</v>
      </c>
    </row>
    <row r="382" spans="2:20" ht="15.6" x14ac:dyDescent="0.3">
      <c r="B382" s="33">
        <f t="shared" si="54"/>
        <v>21</v>
      </c>
      <c r="C382" s="33" t="s">
        <v>591</v>
      </c>
      <c r="D382" s="34" t="s">
        <v>592</v>
      </c>
      <c r="E382" s="35">
        <v>45930</v>
      </c>
      <c r="F382" s="36">
        <v>211.18663000000001</v>
      </c>
      <c r="G382" s="37">
        <v>10</v>
      </c>
      <c r="H382" s="38">
        <f t="shared" si="51"/>
        <v>21.118663000000002</v>
      </c>
      <c r="I382" s="36">
        <v>12336.912</v>
      </c>
      <c r="J382" s="36">
        <v>22821.3</v>
      </c>
      <c r="K382" s="36">
        <v>23465.317999999999</v>
      </c>
      <c r="L382" s="36">
        <v>707.471</v>
      </c>
      <c r="M382" s="36">
        <v>1501.8620000000001</v>
      </c>
      <c r="N382" s="38">
        <f t="shared" si="52"/>
        <v>590.50600000000009</v>
      </c>
      <c r="O382" s="36">
        <v>911.35599999999999</v>
      </c>
      <c r="P382" s="39">
        <f>70+70+60</f>
        <v>200</v>
      </c>
      <c r="Q382" s="39">
        <v>0</v>
      </c>
      <c r="R382" s="40">
        <f t="shared" si="53"/>
        <v>200</v>
      </c>
      <c r="S382" s="39"/>
      <c r="T382" s="41">
        <v>2232</v>
      </c>
    </row>
    <row r="383" spans="2:20" ht="15.6" x14ac:dyDescent="0.3">
      <c r="B383" s="33">
        <f t="shared" si="54"/>
        <v>22</v>
      </c>
      <c r="C383" s="33" t="s">
        <v>593</v>
      </c>
      <c r="D383" s="46" t="s">
        <v>594</v>
      </c>
      <c r="E383" s="35">
        <v>45930</v>
      </c>
      <c r="F383" s="36">
        <v>662.06254000000001</v>
      </c>
      <c r="G383" s="37">
        <v>10</v>
      </c>
      <c r="H383" s="38">
        <f t="shared" si="51"/>
        <v>66.206254000000001</v>
      </c>
      <c r="I383" s="36">
        <v>3847.9014050000001</v>
      </c>
      <c r="J383" s="36">
        <v>8595.3360639999992</v>
      </c>
      <c r="K383" s="36">
        <v>7551.8752999999997</v>
      </c>
      <c r="L383" s="36">
        <v>153.88176100000001</v>
      </c>
      <c r="M383" s="36">
        <v>116.66486999999999</v>
      </c>
      <c r="N383" s="38">
        <f t="shared" si="52"/>
        <v>80.045197999999999</v>
      </c>
      <c r="O383" s="36">
        <v>36.619672000000001</v>
      </c>
      <c r="P383" s="39">
        <v>0</v>
      </c>
      <c r="Q383" s="39">
        <v>0</v>
      </c>
      <c r="R383" s="40">
        <f t="shared" si="53"/>
        <v>0</v>
      </c>
      <c r="S383" s="39"/>
      <c r="T383" s="41">
        <v>1056</v>
      </c>
    </row>
    <row r="384" spans="2:20" ht="15.6" x14ac:dyDescent="0.3">
      <c r="B384" s="33"/>
      <c r="C384" s="33" t="s">
        <v>595</v>
      </c>
      <c r="D384" s="46" t="s">
        <v>596</v>
      </c>
      <c r="E384" s="35">
        <v>45930</v>
      </c>
      <c r="F384" s="36"/>
      <c r="G384" s="37">
        <v>10</v>
      </c>
      <c r="H384" s="38">
        <f t="shared" si="51"/>
        <v>0</v>
      </c>
      <c r="I384" s="36"/>
      <c r="J384" s="36"/>
      <c r="K384" s="36"/>
      <c r="L384" s="36"/>
      <c r="M384" s="36"/>
      <c r="N384" s="38">
        <f t="shared" si="52"/>
        <v>0</v>
      </c>
      <c r="O384" s="36"/>
      <c r="P384" s="39"/>
      <c r="Q384" s="39"/>
      <c r="R384" s="40">
        <f t="shared" si="53"/>
        <v>0</v>
      </c>
      <c r="S384" s="39"/>
      <c r="T384" s="41"/>
    </row>
    <row r="385" spans="2:20" ht="15.6" x14ac:dyDescent="0.3">
      <c r="B385" s="33">
        <f>+B383+1</f>
        <v>23</v>
      </c>
      <c r="C385" s="33" t="s">
        <v>597</v>
      </c>
      <c r="D385" s="34" t="s">
        <v>598</v>
      </c>
      <c r="E385" s="35">
        <v>45930</v>
      </c>
      <c r="F385" s="36">
        <v>150.23231999999999</v>
      </c>
      <c r="G385" s="37">
        <v>10</v>
      </c>
      <c r="H385" s="38">
        <f t="shared" si="51"/>
        <v>15.023231999999998</v>
      </c>
      <c r="I385" s="36">
        <v>12019.653447999999</v>
      </c>
      <c r="J385" s="36">
        <v>18815.987032000001</v>
      </c>
      <c r="K385" s="36">
        <v>48226.079699000002</v>
      </c>
      <c r="L385" s="36">
        <v>1636.6833469999999</v>
      </c>
      <c r="M385" s="36">
        <v>3118.8612979999998</v>
      </c>
      <c r="N385" s="38">
        <f t="shared" si="52"/>
        <v>790.36407999999983</v>
      </c>
      <c r="O385" s="36">
        <v>2328.497218</v>
      </c>
      <c r="P385" s="39">
        <v>100</v>
      </c>
      <c r="Q385" s="39">
        <v>0</v>
      </c>
      <c r="R385" s="40">
        <f t="shared" si="53"/>
        <v>100</v>
      </c>
      <c r="S385" s="39"/>
      <c r="T385" s="41">
        <v>1086</v>
      </c>
    </row>
    <row r="386" spans="2:20" ht="15.6" x14ac:dyDescent="0.3">
      <c r="B386" s="33">
        <f>+B385+1</f>
        <v>24</v>
      </c>
      <c r="C386" s="33" t="s">
        <v>599</v>
      </c>
      <c r="D386" s="34" t="s">
        <v>600</v>
      </c>
      <c r="E386" s="35">
        <v>45930</v>
      </c>
      <c r="F386" s="36">
        <v>1177.0630000000001</v>
      </c>
      <c r="G386" s="37">
        <v>10</v>
      </c>
      <c r="H386" s="38">
        <f t="shared" si="51"/>
        <v>117.70630000000001</v>
      </c>
      <c r="I386" s="36">
        <v>14481.294764</v>
      </c>
      <c r="J386" s="36">
        <v>40356.301823000002</v>
      </c>
      <c r="K386" s="36">
        <v>40480.075526000001</v>
      </c>
      <c r="L386" s="36">
        <v>3624.7125809999998</v>
      </c>
      <c r="M386" s="36">
        <v>798.41631299999995</v>
      </c>
      <c r="N386" s="38">
        <f t="shared" si="52"/>
        <v>88.70076999999992</v>
      </c>
      <c r="O386" s="36">
        <v>709.71554300000003</v>
      </c>
      <c r="P386" s="39">
        <v>0</v>
      </c>
      <c r="Q386" s="39">
        <v>0</v>
      </c>
      <c r="R386" s="40">
        <f t="shared" si="53"/>
        <v>0</v>
      </c>
      <c r="S386" s="39"/>
      <c r="T386" s="41">
        <v>744</v>
      </c>
    </row>
    <row r="387" spans="2:20" ht="15.6" x14ac:dyDescent="0.3">
      <c r="B387" s="62"/>
      <c r="C387" s="62"/>
      <c r="D387" s="64"/>
      <c r="E387" s="65"/>
      <c r="F387" s="66"/>
      <c r="G387" s="43"/>
      <c r="H387" s="67"/>
      <c r="I387" s="66"/>
      <c r="J387" s="66"/>
      <c r="K387" s="66"/>
      <c r="L387" s="66"/>
      <c r="M387" s="66"/>
      <c r="N387" s="67"/>
      <c r="O387" s="66"/>
      <c r="P387" s="68"/>
      <c r="Q387" s="68"/>
      <c r="R387" s="69"/>
      <c r="S387" s="68"/>
      <c r="T387" s="70"/>
    </row>
    <row r="388" spans="2:20" ht="18" x14ac:dyDescent="0.35">
      <c r="B388" s="28"/>
      <c r="C388" s="28"/>
      <c r="D388" s="56" t="s">
        <v>30</v>
      </c>
      <c r="E388" s="28"/>
      <c r="F388" s="28"/>
      <c r="G388" s="43"/>
      <c r="H388" s="44"/>
      <c r="I388" s="30"/>
      <c r="J388" s="30"/>
      <c r="K388" s="30"/>
      <c r="L388" s="30"/>
      <c r="M388" s="30"/>
      <c r="N388" s="45"/>
      <c r="O388" s="30"/>
      <c r="P388" s="30"/>
      <c r="Q388" s="30"/>
      <c r="R388" s="45"/>
      <c r="S388" s="30"/>
      <c r="T388" s="30"/>
    </row>
    <row r="390" spans="2:20" ht="15.6" x14ac:dyDescent="0.3">
      <c r="B390" s="33">
        <v>1</v>
      </c>
      <c r="C390" s="33" t="s">
        <v>601</v>
      </c>
      <c r="D390" s="34" t="s">
        <v>602</v>
      </c>
      <c r="E390" s="35">
        <v>45930</v>
      </c>
      <c r="F390" s="36">
        <v>915.11991999999998</v>
      </c>
      <c r="G390" s="37">
        <v>10</v>
      </c>
      <c r="H390" s="38">
        <f>+F390/G390</f>
        <v>91.511991999999992</v>
      </c>
      <c r="I390" s="36">
        <v>-1263.9156519999999</v>
      </c>
      <c r="J390" s="36">
        <v>7941.6074399999998</v>
      </c>
      <c r="K390" s="36">
        <v>1296.9290739999999</v>
      </c>
      <c r="L390" s="36">
        <v>50.921027000000002</v>
      </c>
      <c r="M390" s="36">
        <v>-676.64987499999995</v>
      </c>
      <c r="N390" s="38">
        <f>+M390-O390</f>
        <v>-104.25153999999998</v>
      </c>
      <c r="O390" s="36">
        <v>-572.39833499999997</v>
      </c>
      <c r="P390" s="39">
        <v>0</v>
      </c>
      <c r="Q390" s="39">
        <v>0</v>
      </c>
      <c r="R390" s="40">
        <f>SUM(P390:Q390)</f>
        <v>0</v>
      </c>
      <c r="S390" s="39"/>
      <c r="T390" s="41">
        <v>2197</v>
      </c>
    </row>
    <row r="391" spans="2:20" ht="15.6" x14ac:dyDescent="0.3">
      <c r="B391" s="33">
        <f>+B390+1</f>
        <v>2</v>
      </c>
      <c r="C391" s="33" t="s">
        <v>603</v>
      </c>
      <c r="D391" s="34" t="s">
        <v>604</v>
      </c>
      <c r="E391" s="35">
        <v>45930</v>
      </c>
      <c r="F391" s="36">
        <v>324</v>
      </c>
      <c r="G391" s="37">
        <v>10</v>
      </c>
      <c r="H391" s="38">
        <f>+F391/G391</f>
        <v>32.4</v>
      </c>
      <c r="I391" s="36">
        <v>282.05501900000002</v>
      </c>
      <c r="J391" s="36">
        <v>5851.3406580000001</v>
      </c>
      <c r="K391" s="36">
        <v>0</v>
      </c>
      <c r="L391" s="36">
        <v>7.7600000000000004E-3</v>
      </c>
      <c r="M391" s="36">
        <v>-315.644611</v>
      </c>
      <c r="N391" s="38">
        <f>+M391-O391</f>
        <v>-70.539555000000007</v>
      </c>
      <c r="O391" s="36">
        <v>-245.10505599999999</v>
      </c>
      <c r="P391" s="39">
        <v>0</v>
      </c>
      <c r="Q391" s="39">
        <v>0</v>
      </c>
      <c r="R391" s="40">
        <f>SUM(P391:Q391)</f>
        <v>0</v>
      </c>
      <c r="S391" s="39"/>
      <c r="T391" s="41"/>
    </row>
    <row r="392" spans="2:20" ht="15.6" x14ac:dyDescent="0.3">
      <c r="B392" s="33">
        <f>+B391+1</f>
        <v>3</v>
      </c>
      <c r="C392" s="33" t="s">
        <v>605</v>
      </c>
      <c r="D392" s="46" t="s">
        <v>606</v>
      </c>
      <c r="E392" s="35">
        <v>45930</v>
      </c>
      <c r="F392" s="36">
        <v>446.16</v>
      </c>
      <c r="G392" s="37">
        <v>10</v>
      </c>
      <c r="H392" s="38">
        <f>+F392/G392</f>
        <v>44.616</v>
      </c>
      <c r="I392" s="36">
        <v>734.62199999999996</v>
      </c>
      <c r="J392" s="36">
        <v>4123.8289999999997</v>
      </c>
      <c r="K392" s="36">
        <v>3849.2689999999998</v>
      </c>
      <c r="L392" s="36">
        <v>21.177</v>
      </c>
      <c r="M392" s="36">
        <v>-16.95</v>
      </c>
      <c r="N392" s="38">
        <f>+M392-O392</f>
        <v>0</v>
      </c>
      <c r="O392" s="36">
        <v>-16.95</v>
      </c>
      <c r="P392" s="39">
        <v>0</v>
      </c>
      <c r="Q392" s="39">
        <v>0</v>
      </c>
      <c r="R392" s="40">
        <f>SUM(P392:Q392)</f>
        <v>0</v>
      </c>
      <c r="S392" s="39"/>
      <c r="T392" s="41">
        <v>2325</v>
      </c>
    </row>
    <row r="393" spans="2:20" ht="15.6" x14ac:dyDescent="0.3">
      <c r="B393" s="33">
        <f>+B392+1</f>
        <v>4</v>
      </c>
      <c r="C393" s="33" t="s">
        <v>607</v>
      </c>
      <c r="D393" s="34" t="s">
        <v>608</v>
      </c>
      <c r="E393" s="35">
        <v>45930</v>
      </c>
      <c r="F393" s="36">
        <v>1250</v>
      </c>
      <c r="G393" s="37">
        <v>10</v>
      </c>
      <c r="H393" s="38">
        <f>+F393/G393</f>
        <v>125</v>
      </c>
      <c r="I393" s="36">
        <v>7327.3490000000002</v>
      </c>
      <c r="J393" s="36">
        <v>19375.236000000001</v>
      </c>
      <c r="K393" s="36">
        <v>5515.54</v>
      </c>
      <c r="L393" s="36">
        <v>300.38299999999998</v>
      </c>
      <c r="M393" s="36">
        <v>-2955.2910000000002</v>
      </c>
      <c r="N393" s="38">
        <f>+M393-O393</f>
        <v>-362.48700000000008</v>
      </c>
      <c r="O393" s="36">
        <v>-2592.8040000000001</v>
      </c>
      <c r="P393" s="39">
        <v>0</v>
      </c>
      <c r="Q393" s="39">
        <v>0</v>
      </c>
      <c r="R393" s="40">
        <f>SUM(P393:Q393)</f>
        <v>0</v>
      </c>
      <c r="S393" s="39"/>
      <c r="T393" s="41">
        <v>1301</v>
      </c>
    </row>
    <row r="394" spans="2:20" ht="15.6" x14ac:dyDescent="0.3">
      <c r="B394" s="62"/>
      <c r="C394" s="62"/>
      <c r="D394" s="64"/>
      <c r="E394" s="65"/>
      <c r="F394" s="66"/>
      <c r="G394" s="43"/>
      <c r="H394" s="67"/>
      <c r="I394" s="66"/>
      <c r="J394" s="66"/>
      <c r="K394" s="66"/>
      <c r="L394" s="66"/>
      <c r="M394" s="66"/>
      <c r="N394" s="67"/>
      <c r="O394" s="66"/>
      <c r="P394" s="68"/>
      <c r="Q394" s="68"/>
      <c r="R394" s="69"/>
      <c r="S394" s="68"/>
      <c r="T394" s="70"/>
    </row>
    <row r="395" spans="2:20" ht="15.6" x14ac:dyDescent="0.3">
      <c r="B395" s="47">
        <f>COUNT(B362:B394)</f>
        <v>28</v>
      </c>
      <c r="C395" s="47"/>
      <c r="D395" s="48"/>
      <c r="E395" s="48"/>
      <c r="F395" s="48">
        <f>SUM(F362:F394)</f>
        <v>11733.183829</v>
      </c>
      <c r="G395" s="49"/>
      <c r="H395" s="50">
        <f>SUM(H362:H394)</f>
        <v>1260.8183829000002</v>
      </c>
      <c r="I395" s="48">
        <f>SUM(I362:I394)</f>
        <v>174881.38314200001</v>
      </c>
      <c r="J395" s="48">
        <f>SUM(J362:J394)</f>
        <v>404521.69202399987</v>
      </c>
      <c r="K395" s="48">
        <f>SUM(K362:K394)</f>
        <v>445776.1351079999</v>
      </c>
      <c r="L395" s="48">
        <f>SUM(L362:L394)</f>
        <v>23443.550050999998</v>
      </c>
      <c r="M395" s="48">
        <f>SUM(M362:M394)</f>
        <v>11485.432343</v>
      </c>
      <c r="N395" s="51">
        <f>SUM(N362:N394)</f>
        <v>2692.3570160000004</v>
      </c>
      <c r="O395" s="48">
        <f>SUM(O362:O394)</f>
        <v>8793.0753270000005</v>
      </c>
      <c r="P395" s="52"/>
      <c r="Q395" s="52"/>
      <c r="R395" s="53"/>
      <c r="S395" s="52"/>
      <c r="T395" s="54">
        <f>SUM(T362:T394)</f>
        <v>43811</v>
      </c>
    </row>
    <row r="396" spans="2:20" ht="15.6" x14ac:dyDescent="0.3">
      <c r="B396" s="62"/>
      <c r="C396" s="62"/>
      <c r="D396" s="64"/>
      <c r="E396" s="65"/>
      <c r="F396" s="66"/>
      <c r="G396" s="43"/>
      <c r="H396" s="67"/>
      <c r="I396" s="66"/>
      <c r="J396" s="66"/>
      <c r="K396" s="66"/>
      <c r="L396" s="66"/>
      <c r="M396" s="66"/>
      <c r="N396" s="67"/>
      <c r="O396" s="66"/>
      <c r="P396" s="68"/>
      <c r="Q396" s="68"/>
      <c r="R396" s="69"/>
      <c r="S396" s="68"/>
      <c r="T396" s="70"/>
    </row>
    <row r="397" spans="2:20" ht="15.6" x14ac:dyDescent="0.3">
      <c r="B397" s="62"/>
      <c r="C397" s="62"/>
      <c r="D397" s="64"/>
      <c r="E397" s="65"/>
      <c r="F397" s="66"/>
      <c r="G397" s="43"/>
      <c r="H397" s="67"/>
      <c r="I397" s="66"/>
      <c r="J397" s="66"/>
      <c r="K397" s="66"/>
      <c r="L397" s="66"/>
      <c r="M397" s="66"/>
      <c r="N397" s="67"/>
      <c r="O397" s="66"/>
      <c r="P397" s="68"/>
      <c r="Q397" s="68"/>
      <c r="R397" s="69"/>
      <c r="S397" s="68"/>
      <c r="T397" s="70"/>
    </row>
    <row r="398" spans="2:20" ht="18" x14ac:dyDescent="0.35">
      <c r="B398" s="28"/>
      <c r="C398" s="32">
        <v>15</v>
      </c>
      <c r="D398" s="32" t="s">
        <v>609</v>
      </c>
      <c r="E398" s="61"/>
      <c r="F398" s="61"/>
      <c r="G398" s="43"/>
      <c r="H398" s="44"/>
      <c r="I398" s="30"/>
      <c r="J398" s="30"/>
      <c r="K398" s="30"/>
      <c r="L398" s="30"/>
      <c r="M398" s="30"/>
      <c r="N398" s="45"/>
      <c r="O398" s="30"/>
      <c r="P398" s="30"/>
      <c r="Q398" s="30"/>
      <c r="R398" s="45"/>
      <c r="S398" s="30"/>
      <c r="T398" s="30"/>
    </row>
    <row r="399" spans="2:20" ht="15.6" x14ac:dyDescent="0.3">
      <c r="B399" s="62"/>
      <c r="C399" s="62"/>
      <c r="D399" s="64"/>
      <c r="E399" s="65"/>
      <c r="F399" s="66"/>
      <c r="G399" s="43"/>
      <c r="H399" s="67"/>
      <c r="I399" s="66"/>
      <c r="J399" s="66"/>
      <c r="K399" s="66"/>
      <c r="L399" s="66"/>
      <c r="M399" s="66"/>
      <c r="N399" s="67"/>
      <c r="O399" s="66"/>
      <c r="P399" s="68"/>
      <c r="Q399" s="68"/>
      <c r="R399" s="69"/>
      <c r="S399" s="68"/>
      <c r="T399" s="70"/>
    </row>
    <row r="400" spans="2:20" ht="15.6" x14ac:dyDescent="0.3">
      <c r="B400" s="33">
        <v>1</v>
      </c>
      <c r="C400" s="33" t="s">
        <v>610</v>
      </c>
      <c r="D400" s="34" t="s">
        <v>611</v>
      </c>
      <c r="E400" s="35">
        <v>45838</v>
      </c>
      <c r="F400" s="36">
        <v>1374.2696100000001</v>
      </c>
      <c r="G400" s="37">
        <v>10</v>
      </c>
      <c r="H400" s="38">
        <f t="shared" ref="H400:H417" si="55">+F400/G400</f>
        <v>137.42696100000001</v>
      </c>
      <c r="I400" s="36">
        <v>22500.879000000001</v>
      </c>
      <c r="J400" s="36">
        <v>50421.714</v>
      </c>
      <c r="K400" s="36">
        <v>33309.08</v>
      </c>
      <c r="L400" s="36">
        <v>1837.6780000000001</v>
      </c>
      <c r="M400" s="36">
        <v>2856.748</v>
      </c>
      <c r="N400" s="38">
        <f t="shared" ref="N400:N417" si="56">+M400-O400</f>
        <v>1125.6570000000002</v>
      </c>
      <c r="O400" s="36">
        <v>1731.0909999999999</v>
      </c>
      <c r="P400" s="39">
        <v>80</v>
      </c>
      <c r="Q400" s="39">
        <v>0</v>
      </c>
      <c r="R400" s="40">
        <f t="shared" ref="R400:R417" si="57">SUM(P400:Q400)</f>
        <v>80</v>
      </c>
      <c r="S400" s="39"/>
      <c r="T400" s="41">
        <v>2564</v>
      </c>
    </row>
    <row r="401" spans="2:20" ht="15.6" x14ac:dyDescent="0.3">
      <c r="B401" s="33">
        <f>+B400+1</f>
        <v>2</v>
      </c>
      <c r="C401" s="33" t="s">
        <v>612</v>
      </c>
      <c r="D401" s="34" t="s">
        <v>613</v>
      </c>
      <c r="E401" s="35">
        <v>45838</v>
      </c>
      <c r="F401" s="36">
        <v>5962.52783</v>
      </c>
      <c r="G401" s="37">
        <v>10</v>
      </c>
      <c r="H401" s="38">
        <f t="shared" si="55"/>
        <v>596.25278300000002</v>
      </c>
      <c r="I401" s="36">
        <v>128233.73299999999</v>
      </c>
      <c r="J401" s="36">
        <v>275490.69799999997</v>
      </c>
      <c r="K401" s="36">
        <v>107758.553</v>
      </c>
      <c r="L401" s="36">
        <v>7625.366</v>
      </c>
      <c r="M401" s="36">
        <v>36450.144999999997</v>
      </c>
      <c r="N401" s="38">
        <f t="shared" si="56"/>
        <v>12585.776999999998</v>
      </c>
      <c r="O401" s="36">
        <v>23864.367999999999</v>
      </c>
      <c r="P401" s="39">
        <f>80+80+80+100</f>
        <v>340</v>
      </c>
      <c r="Q401" s="39">
        <v>0</v>
      </c>
      <c r="R401" s="40">
        <f t="shared" si="57"/>
        <v>340</v>
      </c>
      <c r="S401" s="39"/>
      <c r="T401" s="41">
        <v>9998</v>
      </c>
    </row>
    <row r="402" spans="2:20" ht="15.6" x14ac:dyDescent="0.3">
      <c r="B402" s="33">
        <f t="shared" ref="B402:B417" si="58">+B401+1</f>
        <v>3</v>
      </c>
      <c r="C402" s="33" t="s">
        <v>614</v>
      </c>
      <c r="D402" s="34" t="s">
        <v>615</v>
      </c>
      <c r="E402" s="35">
        <v>45838</v>
      </c>
      <c r="F402" s="36">
        <v>1942.95038</v>
      </c>
      <c r="G402" s="37">
        <v>10</v>
      </c>
      <c r="H402" s="38">
        <f t="shared" si="55"/>
        <v>194.29503800000001</v>
      </c>
      <c r="I402" s="36">
        <v>33307.728999999999</v>
      </c>
      <c r="J402" s="36">
        <v>50553.550999999999</v>
      </c>
      <c r="K402" s="36">
        <v>37810.805999999997</v>
      </c>
      <c r="L402" s="36">
        <v>591.77499999999998</v>
      </c>
      <c r="M402" s="36">
        <v>12884.427</v>
      </c>
      <c r="N402" s="38">
        <f t="shared" si="56"/>
        <v>4203.0709999999999</v>
      </c>
      <c r="O402" s="36">
        <v>8681.3559999999998</v>
      </c>
      <c r="P402" s="39">
        <f>15+40</f>
        <v>55</v>
      </c>
      <c r="Q402" s="39">
        <v>0</v>
      </c>
      <c r="R402" s="40">
        <f t="shared" si="57"/>
        <v>55</v>
      </c>
      <c r="S402" s="39"/>
      <c r="T402" s="41">
        <v>5424</v>
      </c>
    </row>
    <row r="403" spans="2:20" ht="15.6" x14ac:dyDescent="0.3">
      <c r="B403" s="33">
        <f t="shared" si="58"/>
        <v>4</v>
      </c>
      <c r="C403" s="33" t="s">
        <v>616</v>
      </c>
      <c r="D403" s="34" t="s">
        <v>617</v>
      </c>
      <c r="E403" s="35">
        <v>45838</v>
      </c>
      <c r="F403" s="36">
        <v>4841.1334299999999</v>
      </c>
      <c r="G403" s="37">
        <v>10</v>
      </c>
      <c r="H403" s="38">
        <f t="shared" si="55"/>
        <v>484.11334299999999</v>
      </c>
      <c r="I403" s="36">
        <v>24476.973999999998</v>
      </c>
      <c r="J403" s="36">
        <v>47240.516000000003</v>
      </c>
      <c r="K403" s="36">
        <v>21413.394</v>
      </c>
      <c r="L403" s="36">
        <v>12.074999999999999</v>
      </c>
      <c r="M403" s="36">
        <v>83.927999999999997</v>
      </c>
      <c r="N403" s="38">
        <f t="shared" si="56"/>
        <v>1051.7159999999999</v>
      </c>
      <c r="O403" s="36">
        <v>-967.78800000000001</v>
      </c>
      <c r="P403" s="39">
        <v>0</v>
      </c>
      <c r="Q403" s="39">
        <v>0</v>
      </c>
      <c r="R403" s="40">
        <f t="shared" si="57"/>
        <v>0</v>
      </c>
      <c r="S403" s="39"/>
      <c r="T403" s="41">
        <v>8296</v>
      </c>
    </row>
    <row r="404" spans="2:20" ht="15.6" x14ac:dyDescent="0.3">
      <c r="B404" s="33">
        <f t="shared" si="58"/>
        <v>5</v>
      </c>
      <c r="C404" s="33" t="s">
        <v>618</v>
      </c>
      <c r="D404" s="34" t="s">
        <v>619</v>
      </c>
      <c r="E404" s="35">
        <v>45838</v>
      </c>
      <c r="F404" s="36">
        <v>4381.1909699999997</v>
      </c>
      <c r="G404" s="37">
        <v>10</v>
      </c>
      <c r="H404" s="38">
        <f t="shared" si="55"/>
        <v>438.11909699999995</v>
      </c>
      <c r="I404" s="36">
        <v>94667.478000000003</v>
      </c>
      <c r="J404" s="36">
        <v>145924.23499999999</v>
      </c>
      <c r="K404" s="36">
        <v>71892.837</v>
      </c>
      <c r="L404" s="36">
        <v>3870.4050000000002</v>
      </c>
      <c r="M404" s="36">
        <v>12427.486999999999</v>
      </c>
      <c r="N404" s="38">
        <f t="shared" si="56"/>
        <v>3752.4279999999999</v>
      </c>
      <c r="O404" s="36">
        <v>8675.0589999999993</v>
      </c>
      <c r="P404" s="39">
        <v>20</v>
      </c>
      <c r="Q404" s="39">
        <v>0</v>
      </c>
      <c r="R404" s="40">
        <f t="shared" si="57"/>
        <v>20</v>
      </c>
      <c r="S404" s="39"/>
      <c r="T404" s="41">
        <v>10516</v>
      </c>
    </row>
    <row r="405" spans="2:20" ht="15.6" x14ac:dyDescent="0.3">
      <c r="B405" s="33">
        <f t="shared" si="58"/>
        <v>6</v>
      </c>
      <c r="C405" s="33" t="s">
        <v>620</v>
      </c>
      <c r="D405" s="34" t="s">
        <v>621</v>
      </c>
      <c r="E405" s="35">
        <v>45838</v>
      </c>
      <c r="F405" s="36">
        <v>3163.55132</v>
      </c>
      <c r="G405" s="37">
        <v>10</v>
      </c>
      <c r="H405" s="38">
        <f>+F405/G405</f>
        <v>316.35513200000003</v>
      </c>
      <c r="I405" s="36">
        <v>3882.23693</v>
      </c>
      <c r="J405" s="36">
        <v>14120.893896</v>
      </c>
      <c r="K405" s="36">
        <v>6344.1828079999996</v>
      </c>
      <c r="L405" s="36">
        <v>652.16369399999996</v>
      </c>
      <c r="M405" s="36">
        <v>-149.633364</v>
      </c>
      <c r="N405" s="38">
        <f>+M405-O405</f>
        <v>3.5040160000000071</v>
      </c>
      <c r="O405" s="36">
        <v>-153.13738000000001</v>
      </c>
      <c r="P405" s="39">
        <v>0</v>
      </c>
      <c r="Q405" s="39">
        <v>0</v>
      </c>
      <c r="R405" s="40">
        <f>SUM(P405:Q405)</f>
        <v>0</v>
      </c>
      <c r="S405" s="39"/>
      <c r="T405" s="41">
        <v>878</v>
      </c>
    </row>
    <row r="406" spans="2:20" ht="15.6" x14ac:dyDescent="0.3">
      <c r="B406" s="33">
        <f t="shared" si="58"/>
        <v>7</v>
      </c>
      <c r="C406" s="33" t="s">
        <v>622</v>
      </c>
      <c r="D406" s="34" t="s">
        <v>623</v>
      </c>
      <c r="E406" s="35">
        <v>45838</v>
      </c>
      <c r="F406" s="36">
        <v>24528.475999999999</v>
      </c>
      <c r="G406" s="37">
        <v>10</v>
      </c>
      <c r="H406" s="38">
        <f t="shared" si="55"/>
        <v>2452.8476000000001</v>
      </c>
      <c r="I406" s="36">
        <v>84272.207999999999</v>
      </c>
      <c r="J406" s="36">
        <v>160845.19099999999</v>
      </c>
      <c r="K406" s="36">
        <v>88956.327999999994</v>
      </c>
      <c r="L406" s="36">
        <v>5772.1319999999996</v>
      </c>
      <c r="M406" s="36">
        <v>21525.52</v>
      </c>
      <c r="N406" s="38">
        <f t="shared" si="56"/>
        <v>8199.3180000000011</v>
      </c>
      <c r="O406" s="36">
        <v>13326.201999999999</v>
      </c>
      <c r="P406" s="39">
        <v>12.5</v>
      </c>
      <c r="Q406" s="39">
        <v>0</v>
      </c>
      <c r="R406" s="40">
        <f t="shared" si="57"/>
        <v>12.5</v>
      </c>
      <c r="S406" s="39"/>
      <c r="T406" s="41">
        <v>18704</v>
      </c>
    </row>
    <row r="407" spans="2:20" ht="15.6" x14ac:dyDescent="0.3">
      <c r="B407" s="33">
        <f t="shared" si="58"/>
        <v>8</v>
      </c>
      <c r="C407" s="33" t="s">
        <v>624</v>
      </c>
      <c r="D407" s="34" t="s">
        <v>625</v>
      </c>
      <c r="E407" s="35">
        <v>45838</v>
      </c>
      <c r="F407" s="36">
        <v>501.6</v>
      </c>
      <c r="G407" s="37">
        <v>10</v>
      </c>
      <c r="H407" s="38">
        <f t="shared" si="55"/>
        <v>50.160000000000004</v>
      </c>
      <c r="I407" s="36">
        <v>4549.4170000000004</v>
      </c>
      <c r="J407" s="36">
        <v>7966.9210000000003</v>
      </c>
      <c r="K407" s="36">
        <v>11096.924000000001</v>
      </c>
      <c r="L407" s="36">
        <v>172.19</v>
      </c>
      <c r="M407" s="36">
        <v>1088.0719999999999</v>
      </c>
      <c r="N407" s="38">
        <f t="shared" si="56"/>
        <v>479.37999999999988</v>
      </c>
      <c r="O407" s="36">
        <v>608.69200000000001</v>
      </c>
      <c r="P407" s="39">
        <v>20</v>
      </c>
      <c r="Q407" s="39">
        <v>0</v>
      </c>
      <c r="R407" s="40">
        <f t="shared" si="57"/>
        <v>20</v>
      </c>
      <c r="S407" s="39"/>
      <c r="T407" s="41">
        <v>2742</v>
      </c>
    </row>
    <row r="408" spans="2:20" ht="15.6" x14ac:dyDescent="0.3">
      <c r="B408" s="33">
        <f t="shared" si="58"/>
        <v>9</v>
      </c>
      <c r="C408" s="33" t="s">
        <v>626</v>
      </c>
      <c r="D408" s="34" t="s">
        <v>627</v>
      </c>
      <c r="E408" s="35">
        <v>45838</v>
      </c>
      <c r="F408" s="36">
        <v>6948</v>
      </c>
      <c r="G408" s="37">
        <v>10</v>
      </c>
      <c r="H408" s="38">
        <f t="shared" si="55"/>
        <v>694.8</v>
      </c>
      <c r="I408" s="36">
        <v>12322.424032999999</v>
      </c>
      <c r="J408" s="36">
        <v>28210.759001999999</v>
      </c>
      <c r="K408" s="36">
        <v>11202.404473000001</v>
      </c>
      <c r="L408" s="36">
        <v>111.139079</v>
      </c>
      <c r="M408" s="36">
        <v>1136.21048</v>
      </c>
      <c r="N408" s="38">
        <f t="shared" si="56"/>
        <v>497.74930699999993</v>
      </c>
      <c r="O408" s="36">
        <v>638.46117300000003</v>
      </c>
      <c r="P408" s="39">
        <v>0</v>
      </c>
      <c r="Q408" s="39">
        <v>0</v>
      </c>
      <c r="R408" s="40">
        <f t="shared" si="57"/>
        <v>0</v>
      </c>
      <c r="S408" s="39"/>
      <c r="T408" s="41">
        <v>4317</v>
      </c>
    </row>
    <row r="409" spans="2:20" ht="15.6" x14ac:dyDescent="0.3">
      <c r="B409" s="33">
        <f t="shared" si="58"/>
        <v>10</v>
      </c>
      <c r="C409" s="33" t="s">
        <v>628</v>
      </c>
      <c r="D409" s="34" t="s">
        <v>629</v>
      </c>
      <c r="E409" s="35">
        <v>45838</v>
      </c>
      <c r="F409" s="36">
        <v>4002.7395999999999</v>
      </c>
      <c r="G409" s="37">
        <v>10</v>
      </c>
      <c r="H409" s="38">
        <f t="shared" si="55"/>
        <v>400.27395999999999</v>
      </c>
      <c r="I409" s="36">
        <v>25856.075000000001</v>
      </c>
      <c r="J409" s="36">
        <v>38680.762000000002</v>
      </c>
      <c r="K409" s="36">
        <v>19620.350999999999</v>
      </c>
      <c r="L409" s="36">
        <v>252.19300000000001</v>
      </c>
      <c r="M409" s="36">
        <v>3573.7049999999999</v>
      </c>
      <c r="N409" s="38">
        <f t="shared" si="56"/>
        <v>1368.9609999999998</v>
      </c>
      <c r="O409" s="36">
        <v>2204.7440000000001</v>
      </c>
      <c r="P409" s="39">
        <f>10</f>
        <v>10</v>
      </c>
      <c r="Q409" s="39">
        <v>0</v>
      </c>
      <c r="R409" s="40">
        <f t="shared" si="57"/>
        <v>10</v>
      </c>
      <c r="S409" s="39"/>
      <c r="T409" s="41">
        <v>5223</v>
      </c>
    </row>
    <row r="410" spans="2:20" ht="15.6" x14ac:dyDescent="0.3">
      <c r="B410" s="33">
        <f t="shared" si="58"/>
        <v>11</v>
      </c>
      <c r="C410" s="33" t="s">
        <v>630</v>
      </c>
      <c r="D410" s="34" t="s">
        <v>631</v>
      </c>
      <c r="E410" s="35">
        <v>45838</v>
      </c>
      <c r="F410" s="36">
        <v>1838.6129699999999</v>
      </c>
      <c r="G410" s="37">
        <v>2</v>
      </c>
      <c r="H410" s="38">
        <f t="shared" si="55"/>
        <v>919.30648499999995</v>
      </c>
      <c r="I410" s="36">
        <v>47955.194787</v>
      </c>
      <c r="J410" s="36">
        <v>37535.700371999999</v>
      </c>
      <c r="K410" s="36">
        <f>+J410</f>
        <v>37535.700371999999</v>
      </c>
      <c r="L410" s="36">
        <v>349.91071599999998</v>
      </c>
      <c r="M410" s="36">
        <v>17688.192049000001</v>
      </c>
      <c r="N410" s="38">
        <f t="shared" si="56"/>
        <v>6113.0379780000003</v>
      </c>
      <c r="O410" s="36">
        <v>11575.154071000001</v>
      </c>
      <c r="P410" s="39">
        <v>0</v>
      </c>
      <c r="Q410" s="39">
        <v>0</v>
      </c>
      <c r="R410" s="40">
        <f t="shared" si="57"/>
        <v>0</v>
      </c>
      <c r="S410" s="39"/>
      <c r="T410" s="41">
        <v>2952</v>
      </c>
    </row>
    <row r="411" spans="2:20" ht="15.6" x14ac:dyDescent="0.3">
      <c r="B411" s="33">
        <f t="shared" si="58"/>
        <v>12</v>
      </c>
      <c r="C411" s="33" t="s">
        <v>632</v>
      </c>
      <c r="D411" s="34" t="s">
        <v>633</v>
      </c>
      <c r="E411" s="35">
        <v>45838</v>
      </c>
      <c r="F411" s="36">
        <v>2930</v>
      </c>
      <c r="G411" s="37">
        <v>2</v>
      </c>
      <c r="H411" s="38">
        <f t="shared" si="55"/>
        <v>1465</v>
      </c>
      <c r="I411" s="36">
        <v>175910.39999999999</v>
      </c>
      <c r="J411" s="36">
        <v>266748.03000000003</v>
      </c>
      <c r="K411" s="36">
        <v>124511.74400000001</v>
      </c>
      <c r="L411" s="36">
        <v>1370.569</v>
      </c>
      <c r="M411" s="36">
        <v>46993.459000000003</v>
      </c>
      <c r="N411" s="38">
        <f t="shared" si="56"/>
        <v>13901.297000000006</v>
      </c>
      <c r="O411" s="36">
        <v>33092.161999999997</v>
      </c>
      <c r="P411" s="39">
        <v>200</v>
      </c>
      <c r="Q411" s="39">
        <v>0</v>
      </c>
      <c r="R411" s="40">
        <f t="shared" si="57"/>
        <v>200</v>
      </c>
      <c r="S411" s="39"/>
      <c r="T411" s="41">
        <v>23877</v>
      </c>
    </row>
    <row r="412" spans="2:20" ht="15.6" x14ac:dyDescent="0.3">
      <c r="B412" s="33">
        <f t="shared" si="58"/>
        <v>13</v>
      </c>
      <c r="C412" s="33" t="s">
        <v>634</v>
      </c>
      <c r="D412" s="34" t="s">
        <v>635</v>
      </c>
      <c r="E412" s="35">
        <v>45838</v>
      </c>
      <c r="F412" s="36">
        <v>10475.62608</v>
      </c>
      <c r="G412" s="37">
        <v>10</v>
      </c>
      <c r="H412" s="38">
        <f t="shared" si="55"/>
        <v>1047.562608</v>
      </c>
      <c r="I412" s="36">
        <v>71461.592000000004</v>
      </c>
      <c r="J412" s="36">
        <v>119106.27099999999</v>
      </c>
      <c r="K412" s="36">
        <v>68942.445999999996</v>
      </c>
      <c r="L412" s="36">
        <v>3554.788</v>
      </c>
      <c r="M412" s="36">
        <v>21625.264999999999</v>
      </c>
      <c r="N412" s="38">
        <f t="shared" si="56"/>
        <v>4588.8909999999996</v>
      </c>
      <c r="O412" s="36">
        <v>17036.374</v>
      </c>
      <c r="P412" s="39">
        <v>0</v>
      </c>
      <c r="Q412" s="39">
        <v>0</v>
      </c>
      <c r="R412" s="40">
        <f t="shared" si="57"/>
        <v>0</v>
      </c>
      <c r="S412" s="39"/>
      <c r="T412" s="41">
        <v>15270</v>
      </c>
    </row>
    <row r="413" spans="2:20" ht="15.6" x14ac:dyDescent="0.3">
      <c r="B413" s="33">
        <f t="shared" si="58"/>
        <v>14</v>
      </c>
      <c r="C413" s="33" t="s">
        <v>636</v>
      </c>
      <c r="D413" s="34" t="s">
        <v>637</v>
      </c>
      <c r="E413" s="35">
        <v>45838</v>
      </c>
      <c r="F413" s="36">
        <v>2271.489</v>
      </c>
      <c r="G413" s="37">
        <v>10</v>
      </c>
      <c r="H413" s="38">
        <f t="shared" si="55"/>
        <v>227.1489</v>
      </c>
      <c r="I413" s="36">
        <v>47126.981</v>
      </c>
      <c r="J413" s="36">
        <v>86366.858999999997</v>
      </c>
      <c r="K413" s="36">
        <v>33308.610999999997</v>
      </c>
      <c r="L413" s="36">
        <v>1408.259</v>
      </c>
      <c r="M413" s="36">
        <v>8087.5159999999996</v>
      </c>
      <c r="N413" s="38">
        <f t="shared" si="56"/>
        <v>3211.4189999999999</v>
      </c>
      <c r="O413" s="36">
        <v>4876.0969999999998</v>
      </c>
      <c r="P413" s="39">
        <f>50+50</f>
        <v>100</v>
      </c>
      <c r="Q413" s="39">
        <v>0</v>
      </c>
      <c r="R413" s="40">
        <f t="shared" si="57"/>
        <v>100</v>
      </c>
      <c r="S413" s="39"/>
      <c r="T413" s="41">
        <v>7371</v>
      </c>
    </row>
    <row r="414" spans="2:20" ht="15.6" x14ac:dyDescent="0.3">
      <c r="B414" s="33">
        <f t="shared" si="58"/>
        <v>15</v>
      </c>
      <c r="C414" s="33" t="s">
        <v>638</v>
      </c>
      <c r="D414" s="34" t="s">
        <v>639</v>
      </c>
      <c r="E414" s="35">
        <v>45838</v>
      </c>
      <c r="F414" s="36">
        <v>12905.236999999999</v>
      </c>
      <c r="G414" s="37">
        <v>10</v>
      </c>
      <c r="H414" s="38">
        <f t="shared" si="55"/>
        <v>1290.5237</v>
      </c>
      <c r="I414" s="36">
        <v>23529.257000000001</v>
      </c>
      <c r="J414" s="36">
        <v>47680.008999999998</v>
      </c>
      <c r="K414" s="36">
        <v>29520.135999999999</v>
      </c>
      <c r="L414" s="36">
        <v>3078.5729999999999</v>
      </c>
      <c r="M414" s="36">
        <v>1572.3130000000001</v>
      </c>
      <c r="N414" s="38">
        <f t="shared" si="56"/>
        <v>757.31700000000012</v>
      </c>
      <c r="O414" s="36">
        <v>814.99599999999998</v>
      </c>
      <c r="P414" s="39">
        <v>0</v>
      </c>
      <c r="Q414" s="39">
        <v>0</v>
      </c>
      <c r="R414" s="40">
        <f t="shared" si="57"/>
        <v>0</v>
      </c>
      <c r="S414" s="39"/>
      <c r="T414" s="41">
        <v>9386</v>
      </c>
    </row>
    <row r="415" spans="2:20" ht="15.6" x14ac:dyDescent="0.3">
      <c r="B415" s="33"/>
      <c r="C415" s="33" t="s">
        <v>640</v>
      </c>
      <c r="D415" s="34" t="s">
        <v>641</v>
      </c>
      <c r="E415" s="35">
        <v>45838</v>
      </c>
      <c r="F415" s="36"/>
      <c r="G415" s="37">
        <v>10</v>
      </c>
      <c r="H415" s="38">
        <f>+F415/G415</f>
        <v>0</v>
      </c>
      <c r="I415" s="36"/>
      <c r="J415" s="36"/>
      <c r="K415" s="36"/>
      <c r="L415" s="36"/>
      <c r="M415" s="36"/>
      <c r="N415" s="38">
        <f>+M415-O415</f>
        <v>0</v>
      </c>
      <c r="O415" s="36"/>
      <c r="P415" s="39"/>
      <c r="Q415" s="39"/>
      <c r="R415" s="40">
        <f>SUM(P415:Q415)</f>
        <v>0</v>
      </c>
      <c r="S415" s="39"/>
      <c r="T415" s="41"/>
    </row>
    <row r="416" spans="2:20" ht="15.6" x14ac:dyDescent="0.3">
      <c r="B416" s="33">
        <f>+B414+1</f>
        <v>16</v>
      </c>
      <c r="C416" s="33" t="s">
        <v>642</v>
      </c>
      <c r="D416" s="34" t="s">
        <v>643</v>
      </c>
      <c r="E416" s="35">
        <v>45838</v>
      </c>
      <c r="F416" s="36">
        <v>250</v>
      </c>
      <c r="G416" s="37">
        <v>10</v>
      </c>
      <c r="H416" s="38">
        <f t="shared" si="55"/>
        <v>25</v>
      </c>
      <c r="I416" s="36">
        <v>444.26009800000003</v>
      </c>
      <c r="J416" s="36">
        <v>993.09828000000005</v>
      </c>
      <c r="K416" s="36">
        <v>1652.0087249999999</v>
      </c>
      <c r="L416" s="36">
        <v>37.315641999999997</v>
      </c>
      <c r="M416" s="36">
        <v>141.07635400000001</v>
      </c>
      <c r="N416" s="38">
        <f t="shared" si="56"/>
        <v>38.362713000000014</v>
      </c>
      <c r="O416" s="36">
        <v>102.713641</v>
      </c>
      <c r="P416" s="39">
        <v>25</v>
      </c>
      <c r="Q416" s="39">
        <v>0</v>
      </c>
      <c r="R416" s="40">
        <f t="shared" si="57"/>
        <v>25</v>
      </c>
      <c r="S416" s="39"/>
      <c r="T416" s="41">
        <v>1039</v>
      </c>
    </row>
    <row r="417" spans="2:20" ht="15.6" x14ac:dyDescent="0.3">
      <c r="B417" s="33">
        <f t="shared" si="58"/>
        <v>17</v>
      </c>
      <c r="C417" s="33" t="s">
        <v>644</v>
      </c>
      <c r="D417" s="34" t="s">
        <v>645</v>
      </c>
      <c r="E417" s="35">
        <v>45838</v>
      </c>
      <c r="F417" s="36">
        <v>847.18100000000004</v>
      </c>
      <c r="G417" s="37">
        <v>10</v>
      </c>
      <c r="H417" s="38">
        <f t="shared" si="55"/>
        <v>84.718100000000007</v>
      </c>
      <c r="I417" s="36">
        <v>6698.451</v>
      </c>
      <c r="J417" s="36">
        <v>9515.0910000000003</v>
      </c>
      <c r="K417" s="36">
        <v>7566.4139999999998</v>
      </c>
      <c r="L417" s="36">
        <v>43.031999999999996</v>
      </c>
      <c r="M417" s="36">
        <v>3639.3449999999998</v>
      </c>
      <c r="N417" s="38">
        <f t="shared" si="56"/>
        <v>1082.7619999999997</v>
      </c>
      <c r="O417" s="36">
        <v>2556.5830000000001</v>
      </c>
      <c r="P417" s="39">
        <f>5+5</f>
        <v>10</v>
      </c>
      <c r="Q417" s="39">
        <v>0</v>
      </c>
      <c r="R417" s="40">
        <f t="shared" si="57"/>
        <v>10</v>
      </c>
      <c r="S417" s="39"/>
      <c r="T417" s="41">
        <v>4819</v>
      </c>
    </row>
    <row r="419" spans="2:20" ht="15.6" x14ac:dyDescent="0.3">
      <c r="B419" s="62"/>
      <c r="C419" s="62"/>
      <c r="D419" s="64"/>
      <c r="E419" s="65"/>
      <c r="F419" s="66"/>
      <c r="G419" s="43"/>
      <c r="H419" s="67"/>
      <c r="I419" s="66"/>
      <c r="J419" s="66"/>
      <c r="K419" s="66"/>
      <c r="L419" s="66"/>
      <c r="M419" s="66"/>
      <c r="N419" s="67"/>
      <c r="O419" s="66"/>
      <c r="P419" s="68"/>
      <c r="Q419" s="68"/>
      <c r="R419" s="69"/>
      <c r="S419" s="68"/>
      <c r="T419" s="70"/>
    </row>
    <row r="420" spans="2:20" ht="18" x14ac:dyDescent="0.35">
      <c r="B420" s="28"/>
      <c r="C420" s="28"/>
      <c r="D420" s="56" t="s">
        <v>30</v>
      </c>
      <c r="E420" s="28"/>
      <c r="F420" s="28"/>
      <c r="G420" s="43"/>
      <c r="H420" s="44"/>
      <c r="I420" s="30"/>
      <c r="J420" s="30"/>
      <c r="K420" s="30"/>
      <c r="L420" s="30"/>
      <c r="M420" s="30"/>
      <c r="N420" s="45"/>
      <c r="O420" s="30"/>
      <c r="P420" s="30"/>
      <c r="Q420" s="30"/>
      <c r="R420" s="45"/>
      <c r="S420" s="30"/>
      <c r="T420" s="30"/>
    </row>
    <row r="421" spans="2:20" ht="15.6" x14ac:dyDescent="0.3">
      <c r="B421" s="33">
        <v>1</v>
      </c>
      <c r="C421" s="33" t="s">
        <v>646</v>
      </c>
      <c r="D421" s="46" t="s">
        <v>647</v>
      </c>
      <c r="E421" s="35">
        <v>45838</v>
      </c>
      <c r="F421" s="36">
        <v>982.36644000000001</v>
      </c>
      <c r="G421" s="37">
        <v>10</v>
      </c>
      <c r="H421" s="38">
        <f>+F421/G421</f>
        <v>98.236643999999998</v>
      </c>
      <c r="I421" s="36">
        <v>232.82400000000001</v>
      </c>
      <c r="J421" s="36">
        <v>240.80500000000001</v>
      </c>
      <c r="K421" s="36">
        <v>0</v>
      </c>
      <c r="L421" s="36">
        <v>0</v>
      </c>
      <c r="M421" s="36">
        <v>-11.898999999999999</v>
      </c>
      <c r="N421" s="38">
        <f>+M421-O421</f>
        <v>0.5860000000000003</v>
      </c>
      <c r="O421" s="36">
        <v>-12.484999999999999</v>
      </c>
      <c r="P421" s="39">
        <v>0</v>
      </c>
      <c r="Q421" s="39">
        <v>0</v>
      </c>
      <c r="R421" s="40">
        <f>SUM(P421:Q421)</f>
        <v>0</v>
      </c>
      <c r="S421" s="39"/>
      <c r="T421" s="41">
        <v>4820</v>
      </c>
    </row>
    <row r="422" spans="2:20" ht="15.6" x14ac:dyDescent="0.3">
      <c r="B422" s="33">
        <f>+B421+1</f>
        <v>2</v>
      </c>
      <c r="C422" s="33" t="s">
        <v>648</v>
      </c>
      <c r="D422" s="34" t="s">
        <v>649</v>
      </c>
      <c r="E422" s="35">
        <v>45838</v>
      </c>
      <c r="F422" s="36"/>
      <c r="G422" s="37">
        <v>10</v>
      </c>
      <c r="H422" s="38">
        <f>+F422/G422</f>
        <v>0</v>
      </c>
      <c r="I422" s="36"/>
      <c r="J422" s="36"/>
      <c r="K422" s="36"/>
      <c r="L422" s="36"/>
      <c r="M422" s="36"/>
      <c r="N422" s="38">
        <f>+M422-O422</f>
        <v>0</v>
      </c>
      <c r="O422" s="36"/>
      <c r="P422" s="39"/>
      <c r="Q422" s="39"/>
      <c r="R422" s="40">
        <f>SUM(P422:Q422)</f>
        <v>0</v>
      </c>
      <c r="S422" s="39"/>
      <c r="T422" s="41"/>
    </row>
    <row r="423" spans="2:20" ht="15.6" x14ac:dyDescent="0.3">
      <c r="B423" s="62"/>
      <c r="C423" s="62"/>
      <c r="D423" s="64"/>
      <c r="E423" s="65"/>
      <c r="F423" s="66"/>
      <c r="G423" s="43"/>
      <c r="H423" s="67"/>
      <c r="I423" s="66"/>
      <c r="J423" s="66"/>
      <c r="K423" s="66"/>
      <c r="L423" s="66"/>
      <c r="M423" s="66"/>
      <c r="N423" s="67"/>
      <c r="O423" s="66"/>
      <c r="P423" s="68"/>
      <c r="Q423" s="68"/>
      <c r="R423" s="69"/>
      <c r="S423" s="68"/>
      <c r="T423" s="70"/>
    </row>
    <row r="424" spans="2:20" ht="15.6" x14ac:dyDescent="0.3">
      <c r="B424" s="47">
        <f>COUNT(B400:B423)</f>
        <v>19</v>
      </c>
      <c r="C424" s="47"/>
      <c r="D424" s="48"/>
      <c r="E424" s="48"/>
      <c r="F424" s="48">
        <f>SUM(F400:F423)</f>
        <v>90146.951629999981</v>
      </c>
      <c r="G424" s="49"/>
      <c r="H424" s="50">
        <f>SUM(H400:H423)</f>
        <v>10922.140351</v>
      </c>
      <c r="I424" s="48">
        <f>SUM(I400:I423)</f>
        <v>807428.11384800007</v>
      </c>
      <c r="J424" s="48">
        <f>SUM(J400:J423)</f>
        <v>1387641.1045499998</v>
      </c>
      <c r="K424" s="48">
        <f>SUM(K400:K423)</f>
        <v>712441.92037800001</v>
      </c>
      <c r="L424" s="48">
        <f>SUM(L400:L423)</f>
        <v>30739.564130999996</v>
      </c>
      <c r="M424" s="48">
        <f>SUM(M400:M423)</f>
        <v>191611.87651899998</v>
      </c>
      <c r="N424" s="51">
        <f>SUM(N400:N423)</f>
        <v>62961.234014000016</v>
      </c>
      <c r="O424" s="48">
        <f>SUM(O400:O423)</f>
        <v>128650.64250499998</v>
      </c>
      <c r="P424" s="52"/>
      <c r="Q424" s="52"/>
      <c r="R424" s="53"/>
      <c r="S424" s="52"/>
      <c r="T424" s="54">
        <f>SUM(T400:T423)</f>
        <v>138196</v>
      </c>
    </row>
    <row r="425" spans="2:20" ht="15.6" x14ac:dyDescent="0.3">
      <c r="B425" s="62"/>
      <c r="C425" s="62"/>
      <c r="D425" s="64"/>
      <c r="E425" s="65"/>
      <c r="F425" s="66"/>
      <c r="G425" s="43"/>
      <c r="H425" s="67"/>
      <c r="I425" s="66"/>
      <c r="J425" s="66"/>
      <c r="K425" s="66"/>
      <c r="L425" s="66"/>
      <c r="M425" s="66"/>
      <c r="N425" s="67"/>
      <c r="O425" s="66"/>
      <c r="P425" s="68"/>
      <c r="Q425" s="68"/>
      <c r="R425" s="69"/>
      <c r="S425" s="68"/>
      <c r="T425" s="70"/>
    </row>
    <row r="426" spans="2:20" ht="15.6" x14ac:dyDescent="0.3">
      <c r="B426" s="62"/>
      <c r="C426" s="62"/>
      <c r="D426" s="64"/>
      <c r="E426" s="65"/>
      <c r="F426" s="66"/>
      <c r="G426" s="43"/>
      <c r="H426" s="67"/>
      <c r="I426" s="66"/>
      <c r="J426" s="66"/>
      <c r="K426" s="66"/>
      <c r="L426" s="66"/>
      <c r="M426" s="66"/>
      <c r="N426" s="67"/>
      <c r="O426" s="66"/>
      <c r="P426" s="68"/>
      <c r="Q426" s="68"/>
      <c r="R426" s="69"/>
      <c r="S426" s="68"/>
      <c r="T426" s="70"/>
    </row>
    <row r="427" spans="2:20" ht="18" x14ac:dyDescent="0.35">
      <c r="B427" s="28"/>
      <c r="C427" s="32">
        <v>16</v>
      </c>
      <c r="D427" s="32" t="s">
        <v>650</v>
      </c>
      <c r="E427" s="61"/>
      <c r="F427" s="61"/>
      <c r="G427" s="43"/>
      <c r="H427" s="44"/>
      <c r="I427" s="30"/>
      <c r="J427" s="30"/>
      <c r="K427" s="30"/>
      <c r="L427" s="30"/>
      <c r="M427" s="30"/>
      <c r="N427" s="45"/>
      <c r="O427" s="30"/>
      <c r="P427" s="30"/>
      <c r="Q427" s="30"/>
      <c r="R427" s="45"/>
      <c r="S427" s="30"/>
      <c r="T427" s="30"/>
    </row>
    <row r="428" spans="2:20" ht="15.6" x14ac:dyDescent="0.3">
      <c r="B428" s="62"/>
      <c r="C428" s="62"/>
      <c r="D428" s="64"/>
      <c r="E428" s="65"/>
      <c r="F428" s="66"/>
      <c r="G428" s="43"/>
      <c r="H428" s="67"/>
      <c r="I428" s="66"/>
      <c r="J428" s="66"/>
      <c r="K428" s="66"/>
      <c r="L428" s="66"/>
      <c r="M428" s="66"/>
      <c r="N428" s="67"/>
      <c r="O428" s="66"/>
      <c r="P428" s="68"/>
      <c r="Q428" s="68"/>
      <c r="R428" s="69"/>
      <c r="S428" s="68"/>
      <c r="T428" s="70"/>
    </row>
    <row r="429" spans="2:20" ht="15.6" x14ac:dyDescent="0.3">
      <c r="B429" s="33">
        <v>1</v>
      </c>
      <c r="C429" s="60" t="s">
        <v>651</v>
      </c>
      <c r="D429" s="46" t="s">
        <v>652</v>
      </c>
      <c r="E429" s="35">
        <v>45838</v>
      </c>
      <c r="F429" s="36">
        <v>950.08488999999997</v>
      </c>
      <c r="G429" s="37">
        <v>10</v>
      </c>
      <c r="H429" s="38">
        <f t="shared" ref="H429:H434" si="59">+F429/G429</f>
        <v>95.008488999999997</v>
      </c>
      <c r="I429" s="36">
        <v>4418.1820209999996</v>
      </c>
      <c r="J429" s="36">
        <v>5129.9213360000003</v>
      </c>
      <c r="K429" s="36">
        <v>303.49960600000003</v>
      </c>
      <c r="L429" s="36">
        <v>0.62009400000000003</v>
      </c>
      <c r="M429" s="36">
        <v>774.52226299999995</v>
      </c>
      <c r="N429" s="38">
        <f t="shared" ref="N429:N434" si="60">+M429-O429</f>
        <v>125.88579599999991</v>
      </c>
      <c r="O429" s="36">
        <v>648.63646700000004</v>
      </c>
      <c r="P429" s="39">
        <v>5</v>
      </c>
      <c r="Q429" s="39">
        <v>0</v>
      </c>
      <c r="R429" s="40">
        <f t="shared" ref="R429:R434" si="61">SUM(P429:Q429)</f>
        <v>5</v>
      </c>
      <c r="S429" s="39"/>
      <c r="T429" s="41">
        <v>7300</v>
      </c>
    </row>
    <row r="430" spans="2:20" ht="15.6" x14ac:dyDescent="0.3">
      <c r="B430" s="33">
        <f>+B429+1</f>
        <v>2</v>
      </c>
      <c r="C430" s="60" t="s">
        <v>653</v>
      </c>
      <c r="D430" s="46" t="s">
        <v>654</v>
      </c>
      <c r="E430" s="35">
        <v>45838</v>
      </c>
      <c r="F430" s="36">
        <v>106.25852</v>
      </c>
      <c r="G430" s="37">
        <v>10</v>
      </c>
      <c r="H430" s="38">
        <f t="shared" si="59"/>
        <v>10.625852</v>
      </c>
      <c r="I430" s="36">
        <v>-48.100042999999999</v>
      </c>
      <c r="J430" s="36">
        <v>792.06425000000002</v>
      </c>
      <c r="K430" s="36">
        <v>256.09526899999997</v>
      </c>
      <c r="L430" s="36">
        <v>44.527315000000002</v>
      </c>
      <c r="M430" s="36">
        <v>25.509111000000001</v>
      </c>
      <c r="N430" s="38">
        <f t="shared" si="60"/>
        <v>-2.7869919999999979</v>
      </c>
      <c r="O430" s="36">
        <v>28.296102999999999</v>
      </c>
      <c r="P430" s="39">
        <v>0</v>
      </c>
      <c r="Q430" s="39">
        <v>0</v>
      </c>
      <c r="R430" s="40">
        <f t="shared" si="61"/>
        <v>0</v>
      </c>
      <c r="S430" s="39"/>
      <c r="T430" s="41">
        <v>1020</v>
      </c>
    </row>
    <row r="431" spans="2:20" ht="15.6" x14ac:dyDescent="0.3">
      <c r="B431" s="33">
        <f>+B430+1</f>
        <v>3</v>
      </c>
      <c r="C431" s="33" t="s">
        <v>655</v>
      </c>
      <c r="D431" s="46" t="s">
        <v>656</v>
      </c>
      <c r="E431" s="35">
        <v>45838</v>
      </c>
      <c r="F431" s="36">
        <v>3808.6044700000002</v>
      </c>
      <c r="G431" s="37">
        <v>10</v>
      </c>
      <c r="H431" s="38">
        <f t="shared" si="59"/>
        <v>380.86044700000002</v>
      </c>
      <c r="I431" s="36">
        <v>25381.822</v>
      </c>
      <c r="J431" s="36">
        <v>41347.275000000001</v>
      </c>
      <c r="K431" s="36">
        <v>7361.1289999999999</v>
      </c>
      <c r="L431" s="36">
        <v>118.97199999999999</v>
      </c>
      <c r="M431" s="36">
        <v>2151.8609999999999</v>
      </c>
      <c r="N431" s="38">
        <f t="shared" si="60"/>
        <v>586.92699999999991</v>
      </c>
      <c r="O431" s="36">
        <v>1564.934</v>
      </c>
      <c r="P431" s="39">
        <v>50</v>
      </c>
      <c r="Q431" s="39">
        <v>0</v>
      </c>
      <c r="R431" s="40">
        <f t="shared" si="61"/>
        <v>50</v>
      </c>
      <c r="S431" s="39"/>
      <c r="T431" s="41">
        <v>3407</v>
      </c>
    </row>
    <row r="432" spans="2:20" ht="15.6" x14ac:dyDescent="0.3">
      <c r="B432" s="33"/>
      <c r="C432" s="33" t="s">
        <v>657</v>
      </c>
      <c r="D432" s="46" t="s">
        <v>658</v>
      </c>
      <c r="E432" s="35">
        <v>45838</v>
      </c>
      <c r="F432" s="36"/>
      <c r="G432" s="37">
        <v>10</v>
      </c>
      <c r="H432" s="38">
        <f t="shared" si="59"/>
        <v>0</v>
      </c>
      <c r="I432" s="36"/>
      <c r="J432" s="36"/>
      <c r="K432" s="36"/>
      <c r="L432" s="36"/>
      <c r="M432" s="36"/>
      <c r="N432" s="38">
        <f t="shared" si="60"/>
        <v>0</v>
      </c>
      <c r="O432" s="36"/>
      <c r="P432" s="39">
        <v>12</v>
      </c>
      <c r="Q432" s="39">
        <v>0</v>
      </c>
      <c r="R432" s="40">
        <f t="shared" si="61"/>
        <v>12</v>
      </c>
      <c r="S432" s="39"/>
      <c r="T432" s="41"/>
    </row>
    <row r="433" spans="2:20" ht="15.6" x14ac:dyDescent="0.3">
      <c r="B433" s="60">
        <f>+B431+1</f>
        <v>4</v>
      </c>
      <c r="C433" s="60" t="s">
        <v>659</v>
      </c>
      <c r="D433" s="34" t="s">
        <v>660</v>
      </c>
      <c r="E433" s="35">
        <v>45838</v>
      </c>
      <c r="F433" s="36">
        <v>2788.76604</v>
      </c>
      <c r="G433" s="37">
        <v>10</v>
      </c>
      <c r="H433" s="38">
        <f t="shared" si="59"/>
        <v>278.87660399999999</v>
      </c>
      <c r="I433" s="36">
        <v>-1212.252</v>
      </c>
      <c r="J433" s="36">
        <v>7517.6719999999996</v>
      </c>
      <c r="K433" s="36">
        <v>1166.876</v>
      </c>
      <c r="L433" s="36">
        <v>188.71600000000001</v>
      </c>
      <c r="M433" s="36">
        <v>-82.823999999999998</v>
      </c>
      <c r="N433" s="38">
        <f t="shared" si="60"/>
        <v>4.5</v>
      </c>
      <c r="O433" s="36">
        <v>-87.323999999999998</v>
      </c>
      <c r="P433" s="39">
        <v>0</v>
      </c>
      <c r="Q433" s="39">
        <v>0</v>
      </c>
      <c r="R433" s="40">
        <f t="shared" si="61"/>
        <v>0</v>
      </c>
      <c r="S433" s="39"/>
      <c r="T433" s="41">
        <v>10619</v>
      </c>
    </row>
    <row r="434" spans="2:20" ht="15.6" x14ac:dyDescent="0.3">
      <c r="B434" s="60">
        <f>+B433+1</f>
        <v>5</v>
      </c>
      <c r="C434" s="33" t="s">
        <v>661</v>
      </c>
      <c r="D434" s="34" t="s">
        <v>662</v>
      </c>
      <c r="E434" s="35">
        <v>45838</v>
      </c>
      <c r="F434" s="36">
        <v>5610.8687920000002</v>
      </c>
      <c r="G434" s="37">
        <v>10</v>
      </c>
      <c r="H434" s="38">
        <f t="shared" si="59"/>
        <v>561.0868792</v>
      </c>
      <c r="I434" s="36">
        <v>8696.0347860000002</v>
      </c>
      <c r="J434" s="36">
        <v>12097.036778</v>
      </c>
      <c r="K434" s="36">
        <v>0</v>
      </c>
      <c r="L434" s="36">
        <v>507.73501199999998</v>
      </c>
      <c r="M434" s="36">
        <v>-1264.4657890000001</v>
      </c>
      <c r="N434" s="38">
        <f t="shared" si="60"/>
        <v>22.870516999999836</v>
      </c>
      <c r="O434" s="36">
        <v>-1287.3363059999999</v>
      </c>
      <c r="P434" s="39">
        <v>0</v>
      </c>
      <c r="Q434" s="39">
        <v>0</v>
      </c>
      <c r="R434" s="40">
        <f t="shared" si="61"/>
        <v>0</v>
      </c>
      <c r="S434" s="39"/>
      <c r="T434" s="41">
        <v>7461</v>
      </c>
    </row>
    <row r="435" spans="2:20" ht="15.6" x14ac:dyDescent="0.3">
      <c r="B435" s="62"/>
      <c r="C435" s="62"/>
      <c r="D435" s="64"/>
      <c r="E435" s="65"/>
      <c r="F435" s="66"/>
      <c r="G435" s="43"/>
      <c r="H435" s="67"/>
      <c r="I435" s="66"/>
      <c r="J435" s="66"/>
      <c r="K435" s="66"/>
      <c r="L435" s="66"/>
      <c r="M435" s="66"/>
      <c r="N435" s="67"/>
      <c r="O435" s="66"/>
      <c r="P435" s="68"/>
      <c r="Q435" s="68"/>
      <c r="R435" s="69"/>
      <c r="S435" s="68"/>
      <c r="T435" s="70"/>
    </row>
    <row r="436" spans="2:20" ht="15.6" x14ac:dyDescent="0.3">
      <c r="B436" s="47">
        <f>COUNT(B429:B435)</f>
        <v>5</v>
      </c>
      <c r="C436" s="47"/>
      <c r="D436" s="48"/>
      <c r="E436" s="48"/>
      <c r="F436" s="48">
        <f>SUM(F429:F435)</f>
        <v>13264.582711999999</v>
      </c>
      <c r="G436" s="49"/>
      <c r="H436" s="50">
        <f t="shared" ref="H436:O436" si="62">SUM(H429:H435)</f>
        <v>1326.4582712000001</v>
      </c>
      <c r="I436" s="48">
        <f t="shared" si="62"/>
        <v>37235.686763999998</v>
      </c>
      <c r="J436" s="48">
        <f t="shared" si="62"/>
        <v>66883.969364000004</v>
      </c>
      <c r="K436" s="48">
        <f t="shared" si="62"/>
        <v>9087.5998749999999</v>
      </c>
      <c r="L436" s="48">
        <f t="shared" si="62"/>
        <v>860.57042100000001</v>
      </c>
      <c r="M436" s="48">
        <f t="shared" si="62"/>
        <v>1604.6025849999999</v>
      </c>
      <c r="N436" s="51">
        <f t="shared" si="62"/>
        <v>737.39632099999972</v>
      </c>
      <c r="O436" s="48">
        <f t="shared" si="62"/>
        <v>867.20626400000015</v>
      </c>
      <c r="P436" s="52"/>
      <c r="Q436" s="52"/>
      <c r="R436" s="53"/>
      <c r="S436" s="52"/>
      <c r="T436" s="54">
        <f>SUM(T429:T435)</f>
        <v>29807</v>
      </c>
    </row>
    <row r="437" spans="2:20" ht="15.6" x14ac:dyDescent="0.3">
      <c r="B437" s="62"/>
      <c r="C437" s="62"/>
      <c r="D437" s="64"/>
      <c r="E437" s="65"/>
      <c r="F437" s="66"/>
      <c r="G437" s="43"/>
      <c r="H437" s="67"/>
      <c r="I437" s="66"/>
      <c r="J437" s="66"/>
      <c r="K437" s="66"/>
      <c r="L437" s="66"/>
      <c r="M437" s="66"/>
      <c r="N437" s="67"/>
      <c r="O437" s="66"/>
      <c r="P437" s="68"/>
      <c r="Q437" s="68"/>
      <c r="R437" s="69"/>
      <c r="S437" s="68"/>
      <c r="T437" s="70"/>
    </row>
    <row r="438" spans="2:20" ht="15.6" x14ac:dyDescent="0.3">
      <c r="B438" s="62"/>
      <c r="C438" s="62"/>
      <c r="D438" s="64"/>
      <c r="E438" s="65"/>
      <c r="F438" s="66"/>
      <c r="G438" s="43"/>
      <c r="H438" s="67"/>
      <c r="I438" s="66"/>
      <c r="J438" s="66"/>
      <c r="K438" s="66"/>
      <c r="L438" s="66"/>
      <c r="M438" s="66"/>
      <c r="N438" s="67"/>
      <c r="O438" s="66"/>
      <c r="P438" s="68"/>
      <c r="Q438" s="68"/>
      <c r="R438" s="69"/>
      <c r="S438" s="68"/>
      <c r="T438" s="70"/>
    </row>
    <row r="439" spans="2:20" ht="18" x14ac:dyDescent="0.35">
      <c r="B439" s="28"/>
      <c r="C439" s="32">
        <v>17</v>
      </c>
      <c r="D439" s="32" t="s">
        <v>663</v>
      </c>
      <c r="E439" s="61"/>
      <c r="F439" s="61"/>
      <c r="G439" s="43"/>
      <c r="H439" s="44"/>
      <c r="I439" s="30"/>
      <c r="J439" s="30"/>
      <c r="K439" s="30"/>
      <c r="L439" s="30"/>
      <c r="M439" s="30"/>
      <c r="N439" s="45"/>
      <c r="O439" s="30"/>
      <c r="P439" s="30"/>
      <c r="Q439" s="30"/>
      <c r="R439" s="45"/>
      <c r="S439" s="30"/>
      <c r="T439" s="30"/>
    </row>
    <row r="440" spans="2:20" ht="15.6" x14ac:dyDescent="0.3">
      <c r="B440" s="62"/>
      <c r="C440" s="62"/>
      <c r="D440" s="64"/>
      <c r="E440" s="65"/>
      <c r="F440" s="66"/>
      <c r="G440" s="43"/>
      <c r="H440" s="67"/>
      <c r="I440" s="66"/>
      <c r="J440" s="66"/>
      <c r="K440" s="66"/>
      <c r="L440" s="66"/>
      <c r="M440" s="66"/>
      <c r="N440" s="67"/>
      <c r="O440" s="66"/>
      <c r="P440" s="68"/>
      <c r="Q440" s="68"/>
      <c r="R440" s="69"/>
      <c r="S440" s="68"/>
      <c r="T440" s="70"/>
    </row>
    <row r="441" spans="2:20" ht="15.6" x14ac:dyDescent="0.3">
      <c r="B441" s="33">
        <v>1</v>
      </c>
      <c r="C441" s="33" t="s">
        <v>664</v>
      </c>
      <c r="D441" s="34" t="s">
        <v>665</v>
      </c>
      <c r="E441" s="35">
        <v>45838</v>
      </c>
      <c r="F441" s="36">
        <v>69.226039999999998</v>
      </c>
      <c r="G441" s="37">
        <v>10</v>
      </c>
      <c r="H441" s="38">
        <f>+F441/G441</f>
        <v>6.9226039999999998</v>
      </c>
      <c r="I441" s="36">
        <v>2935.2993860000001</v>
      </c>
      <c r="J441" s="36">
        <v>16723.270563999999</v>
      </c>
      <c r="K441" s="36">
        <v>9890.7031790000001</v>
      </c>
      <c r="L441" s="36">
        <v>328.66671600000001</v>
      </c>
      <c r="M441" s="36">
        <v>414.329656</v>
      </c>
      <c r="N441" s="38">
        <f>+M441-O441</f>
        <v>139.681602</v>
      </c>
      <c r="O441" s="36">
        <v>274.648054</v>
      </c>
      <c r="P441" s="39">
        <v>0</v>
      </c>
      <c r="Q441" s="39">
        <v>0</v>
      </c>
      <c r="R441" s="40">
        <f>SUM(P441:Q441)</f>
        <v>0</v>
      </c>
      <c r="S441" s="39"/>
      <c r="T441" s="41">
        <v>1234</v>
      </c>
    </row>
    <row r="442" spans="2:20" ht="15.6" x14ac:dyDescent="0.3">
      <c r="B442" s="33">
        <f>+B441+1</f>
        <v>2</v>
      </c>
      <c r="C442" s="33" t="s">
        <v>666</v>
      </c>
      <c r="D442" s="34" t="s">
        <v>667</v>
      </c>
      <c r="E442" s="35">
        <v>46022</v>
      </c>
      <c r="F442" s="36">
        <v>2554.9379199999998</v>
      </c>
      <c r="G442" s="37">
        <v>10</v>
      </c>
      <c r="H442" s="38">
        <f>+F442/G442</f>
        <v>255.49379199999998</v>
      </c>
      <c r="I442" s="36"/>
      <c r="J442" s="36"/>
      <c r="K442" s="36"/>
      <c r="L442" s="36"/>
      <c r="M442" s="36"/>
      <c r="N442" s="38">
        <f>+M442-O442</f>
        <v>0</v>
      </c>
      <c r="O442" s="36"/>
      <c r="P442" s="39">
        <f>300+300+400+300+200</f>
        <v>1500</v>
      </c>
      <c r="Q442" s="39"/>
      <c r="R442" s="40">
        <f>SUM(P442:Q442)</f>
        <v>1500</v>
      </c>
      <c r="S442" s="39"/>
      <c r="T442" s="41"/>
    </row>
    <row r="443" spans="2:20" ht="15.6" x14ac:dyDescent="0.3">
      <c r="B443" s="62"/>
      <c r="C443" s="62"/>
      <c r="D443" s="64"/>
      <c r="E443" s="65"/>
      <c r="F443" s="66"/>
      <c r="G443" s="43"/>
      <c r="H443" s="67"/>
      <c r="I443" s="66"/>
      <c r="J443" s="66"/>
      <c r="K443" s="66"/>
      <c r="L443" s="66"/>
      <c r="M443" s="66"/>
      <c r="N443" s="67"/>
      <c r="O443" s="66"/>
      <c r="P443" s="68"/>
      <c r="Q443" s="68"/>
      <c r="R443" s="69"/>
      <c r="S443" s="68"/>
      <c r="T443" s="70"/>
    </row>
    <row r="444" spans="2:20" ht="15.6" x14ac:dyDescent="0.3">
      <c r="B444" s="47">
        <f>COUNT(B441:B443)</f>
        <v>2</v>
      </c>
      <c r="C444" s="47"/>
      <c r="D444" s="48"/>
      <c r="E444" s="48"/>
      <c r="F444" s="48">
        <f>SUM(F441:F443)</f>
        <v>2624.1639599999999</v>
      </c>
      <c r="G444" s="49"/>
      <c r="H444" s="50">
        <f>SUM(H441:H443)</f>
        <v>262.41639599999996</v>
      </c>
      <c r="I444" s="48">
        <f>SUM(I441:I443)</f>
        <v>2935.2993860000001</v>
      </c>
      <c r="J444" s="48">
        <f>SUM(J441:J443)</f>
        <v>16723.270563999999</v>
      </c>
      <c r="K444" s="48">
        <f>SUM(K441:K443)</f>
        <v>9890.7031790000001</v>
      </c>
      <c r="L444" s="48">
        <f>SUM(L441:L443)</f>
        <v>328.66671600000001</v>
      </c>
      <c r="M444" s="48">
        <f>SUM(M441:M443)</f>
        <v>414.329656</v>
      </c>
      <c r="N444" s="51">
        <f>SUM(N441:N443)</f>
        <v>139.681602</v>
      </c>
      <c r="O444" s="48">
        <f>SUM(O441:O443)</f>
        <v>274.648054</v>
      </c>
      <c r="P444" s="52"/>
      <c r="Q444" s="52"/>
      <c r="R444" s="53"/>
      <c r="S444" s="52"/>
      <c r="T444" s="54">
        <f>SUM(T441:T443)</f>
        <v>1234</v>
      </c>
    </row>
    <row r="445" spans="2:20" ht="15.6" x14ac:dyDescent="0.3">
      <c r="B445" s="62"/>
      <c r="C445" s="62"/>
      <c r="D445" s="64"/>
      <c r="E445" s="65"/>
      <c r="F445" s="66"/>
      <c r="G445" s="43"/>
      <c r="H445" s="67"/>
      <c r="I445" s="66"/>
      <c r="J445" s="66"/>
      <c r="K445" s="66"/>
      <c r="L445" s="66"/>
      <c r="M445" s="66"/>
      <c r="N445" s="67"/>
      <c r="O445" s="66"/>
      <c r="P445" s="68"/>
      <c r="Q445" s="68"/>
      <c r="R445" s="69"/>
      <c r="S445" s="68"/>
      <c r="T445" s="70"/>
    </row>
    <row r="446" spans="2:20" ht="15.6" x14ac:dyDescent="0.3">
      <c r="B446" s="62"/>
      <c r="C446" s="62"/>
      <c r="D446" s="64"/>
      <c r="E446" s="65"/>
      <c r="F446" s="66"/>
      <c r="G446" s="43"/>
      <c r="H446" s="67"/>
      <c r="I446" s="66"/>
      <c r="J446" s="66"/>
      <c r="K446" s="66"/>
      <c r="L446" s="66"/>
      <c r="M446" s="66"/>
      <c r="N446" s="67"/>
      <c r="O446" s="66"/>
      <c r="P446" s="68"/>
      <c r="Q446" s="68"/>
      <c r="R446" s="69"/>
      <c r="S446" s="68"/>
      <c r="T446" s="70"/>
    </row>
    <row r="447" spans="2:20" ht="18" x14ac:dyDescent="0.35">
      <c r="B447" s="28"/>
      <c r="C447" s="32">
        <v>18</v>
      </c>
      <c r="D447" s="32" t="s">
        <v>668</v>
      </c>
      <c r="E447" s="61"/>
      <c r="F447" s="61"/>
      <c r="G447" s="43"/>
      <c r="H447" s="44"/>
      <c r="I447" s="30"/>
      <c r="J447" s="30"/>
      <c r="K447" s="30"/>
      <c r="L447" s="30"/>
      <c r="M447" s="30"/>
      <c r="N447" s="45"/>
      <c r="O447" s="30"/>
      <c r="P447" s="30"/>
      <c r="Q447" s="30"/>
      <c r="R447" s="45"/>
      <c r="S447" s="30"/>
      <c r="T447" s="30"/>
    </row>
    <row r="448" spans="2:20" ht="15.6" x14ac:dyDescent="0.3">
      <c r="B448" s="62"/>
      <c r="C448" s="62"/>
      <c r="D448" s="64"/>
      <c r="E448" s="65"/>
      <c r="F448" s="66"/>
      <c r="G448" s="43"/>
      <c r="H448" s="67"/>
      <c r="I448" s="66"/>
      <c r="J448" s="66"/>
      <c r="K448" s="66"/>
      <c r="L448" s="66"/>
      <c r="M448" s="66"/>
      <c r="N448" s="67"/>
      <c r="O448" s="66"/>
      <c r="P448" s="68"/>
      <c r="Q448" s="68"/>
      <c r="R448" s="69"/>
      <c r="S448" s="68"/>
      <c r="T448" s="70"/>
    </row>
    <row r="449" spans="2:20" ht="15.6" x14ac:dyDescent="0.3">
      <c r="B449" s="60">
        <v>1</v>
      </c>
      <c r="C449" s="60" t="s">
        <v>669</v>
      </c>
      <c r="D449" s="34" t="s">
        <v>670</v>
      </c>
      <c r="E449" s="35">
        <v>45838</v>
      </c>
      <c r="F449" s="36">
        <v>1066.1624999999999</v>
      </c>
      <c r="G449" s="37">
        <v>10</v>
      </c>
      <c r="H449" s="38">
        <f>+F449/G449</f>
        <v>106.61624999999999</v>
      </c>
      <c r="I449" s="36">
        <v>143667.53099999999</v>
      </c>
      <c r="J449" s="36">
        <v>208420.26800000001</v>
      </c>
      <c r="K449" s="36">
        <v>301329.80699999997</v>
      </c>
      <c r="L449" s="36">
        <v>526.12400000000002</v>
      </c>
      <c r="M449" s="36">
        <f>17966.861+897.224</f>
        <v>18864.084999999999</v>
      </c>
      <c r="N449" s="38">
        <f>+M449-O449</f>
        <v>6892.0199999999986</v>
      </c>
      <c r="O449" s="36">
        <v>11972.065000000001</v>
      </c>
      <c r="P449" s="39">
        <f>50+50</f>
        <v>100</v>
      </c>
      <c r="Q449" s="39">
        <v>0</v>
      </c>
      <c r="R449" s="40">
        <f>SUM(P449:Q449)</f>
        <v>100</v>
      </c>
      <c r="S449" s="39"/>
      <c r="T449" s="41">
        <v>7323</v>
      </c>
    </row>
    <row r="450" spans="2:20" ht="15.6" x14ac:dyDescent="0.3">
      <c r="B450" s="60">
        <f>+B449+1</f>
        <v>2</v>
      </c>
      <c r="C450" s="60" t="s">
        <v>671</v>
      </c>
      <c r="D450" s="34" t="s">
        <v>672</v>
      </c>
      <c r="E450" s="35">
        <v>45838</v>
      </c>
      <c r="F450" s="36">
        <v>54934.475709999999</v>
      </c>
      <c r="G450" s="37">
        <v>10</v>
      </c>
      <c r="H450" s="38">
        <f>+F450/G450</f>
        <v>5493.4475709999997</v>
      </c>
      <c r="I450" s="36">
        <v>202242.86799999999</v>
      </c>
      <c r="J450" s="36">
        <v>376307.01500000001</v>
      </c>
      <c r="K450" s="36">
        <v>296719.73599999998</v>
      </c>
      <c r="L450" s="36">
        <v>4759.1559999999999</v>
      </c>
      <c r="M450" s="36">
        <v>-2208.6439999999998</v>
      </c>
      <c r="N450" s="38">
        <f>+M450-O450</f>
        <v>686.77700000000004</v>
      </c>
      <c r="O450" s="36">
        <v>-2895.4209999999998</v>
      </c>
      <c r="P450" s="39">
        <v>0</v>
      </c>
      <c r="Q450" s="39">
        <v>0</v>
      </c>
      <c r="R450" s="40">
        <f>SUM(P450:Q450)</f>
        <v>0</v>
      </c>
      <c r="S450" s="39"/>
      <c r="T450" s="41">
        <v>23892</v>
      </c>
    </row>
    <row r="451" spans="2:20" ht="15.6" x14ac:dyDescent="0.3">
      <c r="B451" s="60">
        <f>+B450+1</f>
        <v>3</v>
      </c>
      <c r="C451" s="60" t="s">
        <v>673</v>
      </c>
      <c r="D451" s="34" t="s">
        <v>674</v>
      </c>
      <c r="E451" s="35">
        <v>45838</v>
      </c>
      <c r="F451" s="36">
        <v>799.66560000000004</v>
      </c>
      <c r="G451" s="37">
        <v>10</v>
      </c>
      <c r="H451" s="38">
        <f>+F451/G451</f>
        <v>79.966560000000001</v>
      </c>
      <c r="I451" s="36">
        <v>50316.381000000001</v>
      </c>
      <c r="J451" s="36">
        <v>149495.62100000001</v>
      </c>
      <c r="K451" s="36">
        <v>307662.853</v>
      </c>
      <c r="L451" s="36">
        <v>10331.166999999999</v>
      </c>
      <c r="M451" s="36">
        <v>-18441.891</v>
      </c>
      <c r="N451" s="38">
        <f>+M451-O451</f>
        <v>-3574.9689999999991</v>
      </c>
      <c r="O451" s="36">
        <v>-14866.922</v>
      </c>
      <c r="P451" s="39">
        <v>0</v>
      </c>
      <c r="Q451" s="39">
        <v>0</v>
      </c>
      <c r="R451" s="40">
        <f>SUM(P451:Q451)</f>
        <v>0</v>
      </c>
      <c r="S451" s="39"/>
      <c r="T451" s="41">
        <v>8140</v>
      </c>
    </row>
    <row r="452" spans="2:20" ht="15.6" x14ac:dyDescent="0.3">
      <c r="B452" s="60">
        <f>+B451+1</f>
        <v>4</v>
      </c>
      <c r="C452" s="60" t="s">
        <v>675</v>
      </c>
      <c r="D452" s="34" t="s">
        <v>676</v>
      </c>
      <c r="E452" s="35">
        <v>45838</v>
      </c>
      <c r="F452" s="36">
        <v>6300</v>
      </c>
      <c r="G452" s="37">
        <v>10</v>
      </c>
      <c r="H452" s="38">
        <f>+F452/G452</f>
        <v>630</v>
      </c>
      <c r="I452" s="36">
        <v>26604.223999999998</v>
      </c>
      <c r="J452" s="36">
        <v>107940.92600000001</v>
      </c>
      <c r="K452" s="36">
        <v>310351.35499999998</v>
      </c>
      <c r="L452" s="36">
        <v>3787.556</v>
      </c>
      <c r="M452" s="36">
        <v>-3963.3290000000002</v>
      </c>
      <c r="N452" s="38">
        <f>+M452-O452</f>
        <v>696.33699999999999</v>
      </c>
      <c r="O452" s="36">
        <v>-4659.6660000000002</v>
      </c>
      <c r="P452" s="39">
        <v>0</v>
      </c>
      <c r="Q452" s="39">
        <v>0</v>
      </c>
      <c r="R452" s="40">
        <f>SUM(P452:Q452)</f>
        <v>0</v>
      </c>
      <c r="S452" s="39"/>
      <c r="T452" s="41">
        <v>17680</v>
      </c>
    </row>
    <row r="453" spans="2:20" ht="15.6" x14ac:dyDescent="0.3">
      <c r="B453" s="62"/>
      <c r="C453" s="62"/>
      <c r="D453" s="64"/>
      <c r="E453" s="65"/>
      <c r="F453" s="66"/>
      <c r="G453" s="43"/>
      <c r="H453" s="67"/>
      <c r="I453" s="66"/>
      <c r="J453" s="66"/>
      <c r="K453" s="66"/>
      <c r="L453" s="66"/>
      <c r="M453" s="66"/>
      <c r="N453" s="67"/>
      <c r="O453" s="66"/>
      <c r="P453" s="68"/>
      <c r="Q453" s="68"/>
      <c r="R453" s="69"/>
      <c r="S453" s="68"/>
      <c r="T453" s="70"/>
    </row>
    <row r="454" spans="2:20" ht="15.6" x14ac:dyDescent="0.3">
      <c r="B454" s="47">
        <f>COUNT(B449:B453)</f>
        <v>4</v>
      </c>
      <c r="C454" s="47"/>
      <c r="D454" s="48"/>
      <c r="E454" s="48"/>
      <c r="F454" s="48">
        <f>SUM(F449:F453)</f>
        <v>63100.303809999998</v>
      </c>
      <c r="G454" s="49"/>
      <c r="H454" s="50">
        <f t="shared" ref="H454:O454" si="63">SUM(H449:H453)</f>
        <v>6310.0303809999996</v>
      </c>
      <c r="I454" s="48">
        <f t="shared" si="63"/>
        <v>422831.00399999996</v>
      </c>
      <c r="J454" s="48">
        <f t="shared" si="63"/>
        <v>842163.83000000007</v>
      </c>
      <c r="K454" s="48">
        <f t="shared" si="63"/>
        <v>1216063.7509999999</v>
      </c>
      <c r="L454" s="48">
        <f t="shared" si="63"/>
        <v>19404.003000000001</v>
      </c>
      <c r="M454" s="48">
        <f t="shared" si="63"/>
        <v>-5749.7790000000005</v>
      </c>
      <c r="N454" s="51">
        <f t="shared" si="63"/>
        <v>4700.1649999999991</v>
      </c>
      <c r="O454" s="48">
        <f t="shared" si="63"/>
        <v>-10449.944</v>
      </c>
      <c r="P454" s="52"/>
      <c r="Q454" s="52"/>
      <c r="R454" s="53"/>
      <c r="S454" s="52"/>
      <c r="T454" s="54">
        <f>SUM(T449:T453)</f>
        <v>57035</v>
      </c>
    </row>
    <row r="455" spans="2:20" ht="15.6" x14ac:dyDescent="0.3">
      <c r="B455" s="62"/>
      <c r="C455" s="62"/>
      <c r="D455" s="64"/>
      <c r="E455" s="65"/>
      <c r="F455" s="66"/>
      <c r="G455" s="43"/>
      <c r="H455" s="67"/>
      <c r="I455" s="66"/>
      <c r="J455" s="66"/>
      <c r="K455" s="66"/>
      <c r="L455" s="66"/>
      <c r="M455" s="66"/>
      <c r="N455" s="67"/>
      <c r="O455" s="66"/>
      <c r="P455" s="68"/>
      <c r="Q455" s="68"/>
      <c r="R455" s="69"/>
      <c r="S455" s="68"/>
      <c r="T455" s="70"/>
    </row>
    <row r="456" spans="2:20" ht="15.6" x14ac:dyDescent="0.3">
      <c r="B456" s="62"/>
      <c r="C456" s="62"/>
      <c r="D456" s="64"/>
      <c r="E456" s="65"/>
      <c r="F456" s="66"/>
      <c r="G456" s="43"/>
      <c r="H456" s="67"/>
      <c r="I456" s="66"/>
      <c r="J456" s="66"/>
      <c r="K456" s="66"/>
      <c r="L456" s="66"/>
      <c r="M456" s="66"/>
      <c r="N456" s="67"/>
      <c r="O456" s="66"/>
      <c r="P456" s="68"/>
      <c r="Q456" s="68"/>
      <c r="R456" s="69"/>
      <c r="S456" s="68"/>
      <c r="T456" s="70"/>
    </row>
    <row r="457" spans="2:20" ht="18" x14ac:dyDescent="0.35">
      <c r="B457" s="28"/>
      <c r="C457" s="32">
        <v>19</v>
      </c>
      <c r="D457" s="32" t="s">
        <v>677</v>
      </c>
      <c r="E457" s="61"/>
      <c r="F457" s="61"/>
      <c r="G457" s="43"/>
      <c r="H457" s="44"/>
      <c r="I457" s="30"/>
      <c r="J457" s="30"/>
      <c r="K457" s="30"/>
      <c r="L457" s="30"/>
      <c r="M457" s="30"/>
      <c r="N457" s="45"/>
      <c r="O457" s="30"/>
      <c r="P457" s="30"/>
      <c r="Q457" s="30"/>
      <c r="R457" s="45"/>
      <c r="S457" s="30"/>
      <c r="T457" s="30"/>
    </row>
    <row r="458" spans="2:20" ht="15.6" x14ac:dyDescent="0.3">
      <c r="B458" s="62"/>
      <c r="C458" s="62"/>
      <c r="D458" s="64"/>
      <c r="E458" s="65"/>
      <c r="F458" s="66"/>
      <c r="G458" s="43"/>
      <c r="H458" s="67"/>
      <c r="I458" s="66"/>
      <c r="J458" s="66"/>
      <c r="K458" s="66"/>
      <c r="L458" s="66"/>
      <c r="M458" s="66"/>
      <c r="N458" s="67"/>
      <c r="O458" s="66"/>
      <c r="P458" s="68"/>
      <c r="Q458" s="68"/>
      <c r="R458" s="69"/>
      <c r="S458" s="68"/>
      <c r="T458" s="70"/>
    </row>
    <row r="460" spans="2:20" ht="15.6" x14ac:dyDescent="0.3">
      <c r="B460" s="33">
        <v>1</v>
      </c>
      <c r="C460" s="33" t="s">
        <v>678</v>
      </c>
      <c r="D460" s="34" t="s">
        <v>679</v>
      </c>
      <c r="E460" s="35">
        <v>45838</v>
      </c>
      <c r="F460" s="36">
        <v>3633.8</v>
      </c>
      <c r="G460" s="37">
        <v>10</v>
      </c>
      <c r="H460" s="38">
        <f t="shared" ref="H460:H474" si="64">+F460/G460</f>
        <v>363.38</v>
      </c>
      <c r="I460" s="36">
        <v>3867.462</v>
      </c>
      <c r="J460" s="36">
        <v>4476.49</v>
      </c>
      <c r="K460" s="36">
        <v>0</v>
      </c>
      <c r="L460" s="36">
        <v>4.1120000000000001</v>
      </c>
      <c r="M460" s="36">
        <v>5787.2430000000004</v>
      </c>
      <c r="N460" s="38">
        <f t="shared" ref="N460:N474" si="65">+M460-O460</f>
        <v>0.34100000000034925</v>
      </c>
      <c r="O460" s="36">
        <v>5786.902</v>
      </c>
      <c r="P460" s="39">
        <f>59+97</f>
        <v>156</v>
      </c>
      <c r="Q460" s="39">
        <v>0</v>
      </c>
      <c r="R460" s="40">
        <f t="shared" ref="R460:R474" si="66">SUM(P460:Q460)</f>
        <v>156</v>
      </c>
      <c r="S460" s="39"/>
      <c r="T460" s="41">
        <v>4087</v>
      </c>
    </row>
    <row r="461" spans="2:20" ht="15.6" x14ac:dyDescent="0.3">
      <c r="B461" s="33">
        <f t="shared" ref="B461:B474" si="67">+B460+1</f>
        <v>2</v>
      </c>
      <c r="C461" s="33" t="s">
        <v>680</v>
      </c>
      <c r="D461" s="34" t="s">
        <v>681</v>
      </c>
      <c r="E461" s="35">
        <v>46022</v>
      </c>
      <c r="F461" s="36">
        <v>3238</v>
      </c>
      <c r="G461" s="37">
        <v>10</v>
      </c>
      <c r="H461" s="38">
        <f t="shared" si="64"/>
        <v>323.8</v>
      </c>
      <c r="I461" s="36"/>
      <c r="J461" s="36"/>
      <c r="K461" s="36"/>
      <c r="L461" s="36"/>
      <c r="M461" s="36">
        <v>863.42200000000003</v>
      </c>
      <c r="N461" s="38">
        <f t="shared" si="65"/>
        <v>27.143000000000029</v>
      </c>
      <c r="O461" s="36">
        <v>836.279</v>
      </c>
      <c r="P461" s="39">
        <f>75+25+5+12.5</f>
        <v>117.5</v>
      </c>
      <c r="Q461" s="39">
        <v>0</v>
      </c>
      <c r="R461" s="40">
        <f t="shared" si="66"/>
        <v>117.5</v>
      </c>
      <c r="S461" s="39"/>
      <c r="T461" s="41"/>
    </row>
    <row r="462" spans="2:20" ht="15.6" x14ac:dyDescent="0.3">
      <c r="B462" s="33">
        <f t="shared" si="67"/>
        <v>3</v>
      </c>
      <c r="C462" s="33" t="s">
        <v>682</v>
      </c>
      <c r="D462" s="34" t="s">
        <v>683</v>
      </c>
      <c r="E462" s="35">
        <v>45838</v>
      </c>
      <c r="F462" s="36">
        <v>12971.544</v>
      </c>
      <c r="G462" s="37">
        <v>10</v>
      </c>
      <c r="H462" s="38">
        <f t="shared" si="64"/>
        <v>1297.1543999999999</v>
      </c>
      <c r="I462" s="36">
        <v>76252.555999999997</v>
      </c>
      <c r="J462" s="36">
        <v>91533.187000000005</v>
      </c>
      <c r="K462" s="36">
        <v>13209.513000000001</v>
      </c>
      <c r="L462" s="36">
        <v>3242.8359999999998</v>
      </c>
      <c r="M462" s="36">
        <v>19908.916000000001</v>
      </c>
      <c r="N462" s="38">
        <f t="shared" si="65"/>
        <v>829.43800000000192</v>
      </c>
      <c r="O462" s="36">
        <v>19079.477999999999</v>
      </c>
      <c r="P462" s="39">
        <f>50+100</f>
        <v>150</v>
      </c>
      <c r="Q462" s="39">
        <v>0</v>
      </c>
      <c r="R462" s="40">
        <f>SUM(P462:Q462)</f>
        <v>150</v>
      </c>
      <c r="S462" s="39"/>
      <c r="T462" s="41">
        <v>34418</v>
      </c>
    </row>
    <row r="463" spans="2:20" ht="15.6" x14ac:dyDescent="0.3">
      <c r="B463" s="33">
        <f t="shared" si="67"/>
        <v>4</v>
      </c>
      <c r="C463" s="33" t="s">
        <v>684</v>
      </c>
      <c r="D463" s="34" t="s">
        <v>685</v>
      </c>
      <c r="E463" s="35">
        <v>45838</v>
      </c>
      <c r="F463" s="36">
        <v>8802.5322799999994</v>
      </c>
      <c r="G463" s="37">
        <v>10</v>
      </c>
      <c r="H463" s="38">
        <f t="shared" si="64"/>
        <v>880.25322799999992</v>
      </c>
      <c r="I463" s="36">
        <v>57098.084999999999</v>
      </c>
      <c r="J463" s="36">
        <v>65253.377999999997</v>
      </c>
      <c r="K463" s="36">
        <v>1563.32</v>
      </c>
      <c r="L463" s="36">
        <v>248.364</v>
      </c>
      <c r="M463" s="36">
        <v>2972.998</v>
      </c>
      <c r="N463" s="38">
        <f t="shared" si="65"/>
        <v>436.93299999999999</v>
      </c>
      <c r="O463" s="36">
        <v>2536.0650000000001</v>
      </c>
      <c r="P463" s="39">
        <f>45+25</f>
        <v>70</v>
      </c>
      <c r="Q463" s="39">
        <v>0</v>
      </c>
      <c r="R463" s="40">
        <f t="shared" si="66"/>
        <v>70</v>
      </c>
      <c r="S463" s="39"/>
      <c r="T463" s="41">
        <v>60886</v>
      </c>
    </row>
    <row r="464" spans="2:20" ht="15.6" x14ac:dyDescent="0.3">
      <c r="B464" s="33">
        <f t="shared" si="67"/>
        <v>5</v>
      </c>
      <c r="C464" s="33" t="s">
        <v>686</v>
      </c>
      <c r="D464" s="34" t="s">
        <v>687</v>
      </c>
      <c r="E464" s="35">
        <v>45838</v>
      </c>
      <c r="F464" s="36"/>
      <c r="G464" s="37">
        <v>3.5</v>
      </c>
      <c r="H464" s="38">
        <f t="shared" si="64"/>
        <v>0</v>
      </c>
      <c r="I464" s="36"/>
      <c r="J464" s="36"/>
      <c r="K464" s="36"/>
      <c r="L464" s="36"/>
      <c r="M464" s="36"/>
      <c r="N464" s="38">
        <f t="shared" si="65"/>
        <v>0</v>
      </c>
      <c r="O464" s="36"/>
      <c r="P464" s="39"/>
      <c r="Q464" s="39"/>
      <c r="R464" s="40">
        <f t="shared" si="66"/>
        <v>0</v>
      </c>
      <c r="S464" s="39"/>
      <c r="T464" s="41"/>
    </row>
    <row r="465" spans="2:20" ht="15.6" x14ac:dyDescent="0.3">
      <c r="B465" s="33">
        <f t="shared" si="67"/>
        <v>6</v>
      </c>
      <c r="C465" s="33" t="s">
        <v>688</v>
      </c>
      <c r="D465" s="34" t="s">
        <v>689</v>
      </c>
      <c r="E465" s="35">
        <v>45838</v>
      </c>
      <c r="F465" s="36">
        <v>1694.5861399999999</v>
      </c>
      <c r="G465" s="37">
        <v>10</v>
      </c>
      <c r="H465" s="38">
        <f t="shared" si="64"/>
        <v>169.45861399999998</v>
      </c>
      <c r="I465" s="36">
        <v>4064.5819999999999</v>
      </c>
      <c r="J465" s="36">
        <v>5385.61</v>
      </c>
      <c r="K465" s="36">
        <v>4328.8109999999997</v>
      </c>
      <c r="L465" s="36">
        <v>343.13200000000001</v>
      </c>
      <c r="M465" s="36">
        <v>726.65099999999995</v>
      </c>
      <c r="N465" s="38">
        <f t="shared" si="65"/>
        <v>2.2999999999999545</v>
      </c>
      <c r="O465" s="36">
        <v>724.351</v>
      </c>
      <c r="P465" s="39">
        <f>70</f>
        <v>70</v>
      </c>
      <c r="Q465" s="39">
        <v>0</v>
      </c>
      <c r="R465" s="40">
        <f t="shared" si="66"/>
        <v>70</v>
      </c>
      <c r="S465" s="39"/>
      <c r="T465" s="41">
        <v>4056</v>
      </c>
    </row>
    <row r="466" spans="2:20" ht="15.6" x14ac:dyDescent="0.3">
      <c r="B466" s="33">
        <f t="shared" si="67"/>
        <v>7</v>
      </c>
      <c r="C466" s="33" t="s">
        <v>690</v>
      </c>
      <c r="D466" s="34" t="s">
        <v>691</v>
      </c>
      <c r="E466" s="35">
        <v>45838</v>
      </c>
      <c r="F466" s="36">
        <v>126</v>
      </c>
      <c r="G466" s="37">
        <v>10</v>
      </c>
      <c r="H466" s="38">
        <f>+F466/G466</f>
        <v>12.6</v>
      </c>
      <c r="I466" s="36">
        <v>122.109188</v>
      </c>
      <c r="J466" s="36">
        <v>124.343575</v>
      </c>
      <c r="K466" s="36">
        <v>6.7420669999999996</v>
      </c>
      <c r="L466" s="36">
        <v>4.6999999999999999E-4</v>
      </c>
      <c r="M466" s="36">
        <v>2.7000799999999998</v>
      </c>
      <c r="N466" s="38">
        <f>+M466-O466</f>
        <v>-8.2184950000000008</v>
      </c>
      <c r="O466" s="36">
        <v>10.918575000000001</v>
      </c>
      <c r="P466" s="39">
        <v>0</v>
      </c>
      <c r="Q466" s="39">
        <v>0</v>
      </c>
      <c r="R466" s="40">
        <f>SUM(P466:Q466)</f>
        <v>0</v>
      </c>
      <c r="S466" s="39"/>
      <c r="T466" s="41">
        <v>1199</v>
      </c>
    </row>
    <row r="467" spans="2:20" ht="15.6" x14ac:dyDescent="0.3">
      <c r="B467" s="33">
        <f t="shared" si="67"/>
        <v>8</v>
      </c>
      <c r="C467" s="33" t="s">
        <v>692</v>
      </c>
      <c r="D467" s="34" t="s">
        <v>693</v>
      </c>
      <c r="E467" s="35">
        <v>46022</v>
      </c>
      <c r="F467" s="36"/>
      <c r="G467" s="37">
        <v>10</v>
      </c>
      <c r="H467" s="38">
        <f t="shared" si="64"/>
        <v>0</v>
      </c>
      <c r="I467" s="36"/>
      <c r="J467" s="36"/>
      <c r="K467" s="36"/>
      <c r="L467" s="36"/>
      <c r="M467" s="36"/>
      <c r="N467" s="38">
        <f t="shared" si="65"/>
        <v>0</v>
      </c>
      <c r="O467" s="36"/>
      <c r="P467" s="39"/>
      <c r="Q467" s="39"/>
      <c r="R467" s="40">
        <f t="shared" si="66"/>
        <v>0</v>
      </c>
      <c r="S467" s="39"/>
      <c r="T467" s="41"/>
    </row>
    <row r="468" spans="2:20" ht="15.6" x14ac:dyDescent="0.3">
      <c r="B468" s="33">
        <f t="shared" si="67"/>
        <v>9</v>
      </c>
      <c r="C468" s="33" t="s">
        <v>694</v>
      </c>
      <c r="D468" s="34" t="s">
        <v>695</v>
      </c>
      <c r="E468" s="35">
        <v>45838</v>
      </c>
      <c r="F468" s="36">
        <v>3673.4693900000002</v>
      </c>
      <c r="G468" s="37">
        <v>10</v>
      </c>
      <c r="H468" s="38">
        <f t="shared" si="64"/>
        <v>367.34693900000002</v>
      </c>
      <c r="I468" s="36">
        <v>23227.02</v>
      </c>
      <c r="J468" s="36">
        <v>24332.254000000001</v>
      </c>
      <c r="K468" s="36">
        <v>5566.1490000000003</v>
      </c>
      <c r="L468" s="36">
        <v>14.682</v>
      </c>
      <c r="M468" s="36">
        <v>-3156.5459999999998</v>
      </c>
      <c r="N468" s="38">
        <f t="shared" si="65"/>
        <v>219.37400000000025</v>
      </c>
      <c r="O468" s="36">
        <v>-3375.92</v>
      </c>
      <c r="P468" s="39">
        <f>50+20</f>
        <v>70</v>
      </c>
      <c r="Q468" s="39">
        <v>0</v>
      </c>
      <c r="R468" s="40">
        <f t="shared" si="66"/>
        <v>70</v>
      </c>
      <c r="S468" s="39"/>
      <c r="T468" s="41">
        <v>8696</v>
      </c>
    </row>
    <row r="469" spans="2:20" ht="15.6" x14ac:dyDescent="0.3">
      <c r="B469" s="33">
        <f t="shared" si="67"/>
        <v>10</v>
      </c>
      <c r="C469" s="33" t="s">
        <v>696</v>
      </c>
      <c r="D469" s="34" t="s">
        <v>697</v>
      </c>
      <c r="E469" s="35">
        <v>45838</v>
      </c>
      <c r="F469" s="36">
        <v>3540.8850000000002</v>
      </c>
      <c r="G469" s="37">
        <v>10</v>
      </c>
      <c r="H469" s="38">
        <f t="shared" si="64"/>
        <v>354.08850000000001</v>
      </c>
      <c r="I469" s="36">
        <v>27975.168000000001</v>
      </c>
      <c r="J469" s="36">
        <v>29150.366000000002</v>
      </c>
      <c r="K469" s="36">
        <v>7057.7139999999999</v>
      </c>
      <c r="L469" s="36">
        <v>43.411000000000001</v>
      </c>
      <c r="M469" s="36">
        <v>-381.27300000000002</v>
      </c>
      <c r="N469" s="38">
        <f t="shared" si="65"/>
        <v>365.50900000000001</v>
      </c>
      <c r="O469" s="36">
        <v>-746.78200000000004</v>
      </c>
      <c r="P469" s="39">
        <f>20+20+20</f>
        <v>60</v>
      </c>
      <c r="Q469" s="39">
        <v>0</v>
      </c>
      <c r="R469" s="40">
        <f t="shared" si="66"/>
        <v>60</v>
      </c>
      <c r="S469" s="39"/>
      <c r="T469" s="41">
        <v>5028</v>
      </c>
    </row>
    <row r="470" spans="2:20" ht="15.6" x14ac:dyDescent="0.3">
      <c r="B470" s="33">
        <f t="shared" si="67"/>
        <v>11</v>
      </c>
      <c r="C470" s="33" t="s">
        <v>698</v>
      </c>
      <c r="D470" s="34" t="s">
        <v>699</v>
      </c>
      <c r="E470" s="35">
        <v>46022</v>
      </c>
      <c r="F470" s="36">
        <v>3720.8159099999998</v>
      </c>
      <c r="G470" s="37">
        <v>10</v>
      </c>
      <c r="H470" s="38">
        <f t="shared" si="64"/>
        <v>372.081591</v>
      </c>
      <c r="I470" s="36"/>
      <c r="J470" s="36"/>
      <c r="K470" s="36"/>
      <c r="L470" s="36"/>
      <c r="M470" s="36"/>
      <c r="N470" s="38">
        <f t="shared" si="65"/>
        <v>0</v>
      </c>
      <c r="O470" s="36"/>
      <c r="P470" s="39">
        <f>20</f>
        <v>20</v>
      </c>
      <c r="Q470" s="39"/>
      <c r="R470" s="40">
        <f t="shared" si="66"/>
        <v>20</v>
      </c>
      <c r="S470" s="39"/>
      <c r="T470" s="41"/>
    </row>
    <row r="471" spans="2:20" ht="15.6" x14ac:dyDescent="0.3">
      <c r="B471" s="33">
        <f t="shared" si="67"/>
        <v>12</v>
      </c>
      <c r="C471" s="33" t="s">
        <v>700</v>
      </c>
      <c r="D471" s="34" t="s">
        <v>701</v>
      </c>
      <c r="E471" s="35">
        <v>45838</v>
      </c>
      <c r="F471" s="36">
        <v>190.92</v>
      </c>
      <c r="G471" s="37">
        <v>10</v>
      </c>
      <c r="H471" s="38">
        <f t="shared" si="64"/>
        <v>19.091999999999999</v>
      </c>
      <c r="I471" s="36">
        <v>1338.8951460000001</v>
      </c>
      <c r="J471" s="36">
        <v>2900.8854900000001</v>
      </c>
      <c r="K471" s="36">
        <v>176.069795</v>
      </c>
      <c r="L471" s="36">
        <v>53.923434999999998</v>
      </c>
      <c r="M471" s="36">
        <v>170.27874499999999</v>
      </c>
      <c r="N471" s="38">
        <f t="shared" si="65"/>
        <v>3.1416099999999858</v>
      </c>
      <c r="O471" s="36">
        <v>167.137135</v>
      </c>
      <c r="P471" s="39">
        <v>0</v>
      </c>
      <c r="Q471" s="39">
        <v>0</v>
      </c>
      <c r="R471" s="40">
        <f t="shared" si="66"/>
        <v>0</v>
      </c>
      <c r="S471" s="39"/>
      <c r="T471" s="41">
        <v>1212</v>
      </c>
    </row>
    <row r="472" spans="2:20" ht="15.6" x14ac:dyDescent="0.3">
      <c r="B472" s="33">
        <f t="shared" si="67"/>
        <v>13</v>
      </c>
      <c r="C472" s="33" t="s">
        <v>702</v>
      </c>
      <c r="D472" s="34" t="s">
        <v>703</v>
      </c>
      <c r="E472" s="35">
        <v>45838</v>
      </c>
      <c r="F472" s="36">
        <v>178.33267000000001</v>
      </c>
      <c r="G472" s="37">
        <v>10</v>
      </c>
      <c r="H472" s="38">
        <f>+F472/G472</f>
        <v>17.833266999999999</v>
      </c>
      <c r="I472" s="36">
        <v>0.67081999999999997</v>
      </c>
      <c r="J472" s="36">
        <v>18.389194</v>
      </c>
      <c r="K472" s="36">
        <v>6.1458599999999999</v>
      </c>
      <c r="L472" s="36">
        <v>3.4529999999999999E-3</v>
      </c>
      <c r="M472" s="36">
        <v>-8.4046450000000004</v>
      </c>
      <c r="N472" s="38">
        <f>+M472-O472</f>
        <v>0</v>
      </c>
      <c r="O472" s="36">
        <v>-8.4046450000000004</v>
      </c>
      <c r="P472" s="39">
        <v>0</v>
      </c>
      <c r="Q472" s="39">
        <v>0</v>
      </c>
      <c r="R472" s="40">
        <f>SUM(P472:Q472)</f>
        <v>0</v>
      </c>
      <c r="S472" s="39"/>
      <c r="T472" s="41"/>
    </row>
    <row r="473" spans="2:20" ht="15.6" x14ac:dyDescent="0.3">
      <c r="B473" s="33">
        <f t="shared" si="67"/>
        <v>14</v>
      </c>
      <c r="C473" s="33" t="s">
        <v>704</v>
      </c>
      <c r="D473" s="34" t="s">
        <v>705</v>
      </c>
      <c r="E473" s="35">
        <v>46022</v>
      </c>
      <c r="F473" s="36">
        <v>3864.7177900000002</v>
      </c>
      <c r="G473" s="37">
        <v>10</v>
      </c>
      <c r="H473" s="38">
        <f t="shared" si="64"/>
        <v>386.47177900000003</v>
      </c>
      <c r="I473" s="36"/>
      <c r="J473" s="36"/>
      <c r="K473" s="36"/>
      <c r="L473" s="36"/>
      <c r="M473" s="36"/>
      <c r="N473" s="38">
        <f t="shared" si="65"/>
        <v>0</v>
      </c>
      <c r="O473" s="36"/>
      <c r="P473" s="39">
        <f>10</f>
        <v>10</v>
      </c>
      <c r="Q473" s="39"/>
      <c r="R473" s="40">
        <f t="shared" si="66"/>
        <v>10</v>
      </c>
      <c r="S473" s="39"/>
      <c r="T473" s="41"/>
    </row>
    <row r="474" spans="2:20" ht="15.6" x14ac:dyDescent="0.3">
      <c r="B474" s="33">
        <f t="shared" si="67"/>
        <v>15</v>
      </c>
      <c r="C474" s="33" t="s">
        <v>706</v>
      </c>
      <c r="D474" s="34" t="s">
        <v>707</v>
      </c>
      <c r="E474" s="35">
        <v>45838</v>
      </c>
      <c r="F474" s="36">
        <v>150</v>
      </c>
      <c r="G474" s="37">
        <v>10</v>
      </c>
      <c r="H474" s="38">
        <f t="shared" si="64"/>
        <v>15</v>
      </c>
      <c r="I474" s="36">
        <v>173.67869200000001</v>
      </c>
      <c r="J474" s="36">
        <v>216.61000799999999</v>
      </c>
      <c r="K474" s="36">
        <v>0</v>
      </c>
      <c r="L474" s="36">
        <v>2.8999999999999998E-3</v>
      </c>
      <c r="M474" s="36">
        <v>-10.317805999999999</v>
      </c>
      <c r="N474" s="38">
        <f t="shared" si="65"/>
        <v>0</v>
      </c>
      <c r="O474" s="36">
        <v>-10.317805999999999</v>
      </c>
      <c r="P474" s="39">
        <v>0</v>
      </c>
      <c r="Q474" s="39">
        <v>0</v>
      </c>
      <c r="R474" s="40">
        <f t="shared" si="66"/>
        <v>0</v>
      </c>
      <c r="S474" s="39"/>
      <c r="T474" s="41">
        <v>4948</v>
      </c>
    </row>
    <row r="475" spans="2:20" ht="15.6" x14ac:dyDescent="0.3">
      <c r="B475" s="62"/>
      <c r="C475" s="62"/>
      <c r="D475" s="64"/>
      <c r="E475" s="65"/>
      <c r="F475" s="66"/>
      <c r="G475" s="43"/>
      <c r="H475" s="67"/>
      <c r="I475" s="66"/>
      <c r="J475" s="66"/>
      <c r="K475" s="66"/>
      <c r="L475" s="66"/>
      <c r="M475" s="66"/>
      <c r="N475" s="67"/>
      <c r="O475" s="66"/>
      <c r="P475" s="68"/>
      <c r="Q475" s="68"/>
      <c r="R475" s="69"/>
      <c r="S475" s="68"/>
      <c r="T475" s="70"/>
    </row>
    <row r="476" spans="2:20" ht="15.6" x14ac:dyDescent="0.3">
      <c r="B476" s="47">
        <f>COUNT(B460:B475)</f>
        <v>15</v>
      </c>
      <c r="C476" s="47"/>
      <c r="D476" s="48"/>
      <c r="E476" s="48"/>
      <c r="F476" s="48">
        <f>SUM(F460:F475)</f>
        <v>45785.603180000006</v>
      </c>
      <c r="G476" s="49"/>
      <c r="H476" s="50">
        <f>SUM(H460:H475)</f>
        <v>4578.5603179999998</v>
      </c>
      <c r="I476" s="48">
        <f>SUM(I460:I475)</f>
        <v>194120.22684599998</v>
      </c>
      <c r="J476" s="48">
        <f>SUM(J460:J475)</f>
        <v>223391.51326699997</v>
      </c>
      <c r="K476" s="48">
        <f>SUM(K460:K475)</f>
        <v>31914.464722000001</v>
      </c>
      <c r="L476" s="48">
        <f>SUM(L460:L475)</f>
        <v>3950.4672579999997</v>
      </c>
      <c r="M476" s="48">
        <f>SUM(M460:M475)</f>
        <v>26875.667374000004</v>
      </c>
      <c r="N476" s="50">
        <f>SUM(N460:N475)</f>
        <v>1875.9611150000023</v>
      </c>
      <c r="O476" s="48">
        <f>SUM(O460:O475)</f>
        <v>24999.706258999999</v>
      </c>
      <c r="P476" s="52"/>
      <c r="Q476" s="52"/>
      <c r="R476" s="53"/>
      <c r="S476" s="52"/>
      <c r="T476" s="54">
        <f>SUM(T460:T475)</f>
        <v>124530</v>
      </c>
    </row>
    <row r="477" spans="2:20" ht="15.6" x14ac:dyDescent="0.3">
      <c r="B477" s="62"/>
      <c r="C477" s="62"/>
      <c r="D477" s="64"/>
      <c r="E477" s="65"/>
      <c r="F477" s="66"/>
      <c r="G477" s="43"/>
      <c r="H477" s="67"/>
      <c r="I477" s="66"/>
      <c r="J477" s="66"/>
      <c r="K477" s="66"/>
      <c r="L477" s="66"/>
      <c r="M477" s="66"/>
      <c r="N477" s="67"/>
      <c r="O477" s="66"/>
      <c r="P477" s="68"/>
      <c r="Q477" s="68"/>
      <c r="R477" s="69"/>
      <c r="S477" s="68"/>
      <c r="T477" s="70"/>
    </row>
    <row r="478" spans="2:20" ht="15.6" x14ac:dyDescent="0.3">
      <c r="B478" s="62"/>
      <c r="C478" s="62"/>
      <c r="D478" s="64"/>
      <c r="E478" s="65"/>
      <c r="F478" s="66"/>
      <c r="G478" s="43"/>
      <c r="H478" s="67"/>
      <c r="I478" s="66"/>
      <c r="J478" s="66"/>
      <c r="K478" s="66"/>
      <c r="L478" s="66"/>
      <c r="M478" s="66"/>
      <c r="N478" s="67"/>
      <c r="O478" s="66"/>
      <c r="P478" s="68"/>
      <c r="Q478" s="68"/>
      <c r="R478" s="69"/>
      <c r="S478" s="68"/>
      <c r="T478" s="70"/>
    </row>
    <row r="479" spans="2:20" ht="18" x14ac:dyDescent="0.35">
      <c r="B479" s="28"/>
      <c r="C479" s="32">
        <v>20</v>
      </c>
      <c r="D479" s="32" t="s">
        <v>708</v>
      </c>
      <c r="E479" s="61"/>
      <c r="F479" s="61"/>
      <c r="G479" s="43"/>
      <c r="H479" s="44"/>
      <c r="I479" s="30"/>
      <c r="J479" s="30"/>
      <c r="K479" s="30"/>
      <c r="L479" s="30"/>
      <c r="M479" s="30"/>
      <c r="N479" s="45"/>
      <c r="O479" s="30"/>
      <c r="P479" s="30"/>
      <c r="Q479" s="30"/>
      <c r="R479" s="45"/>
      <c r="S479" s="30"/>
      <c r="T479" s="30"/>
    </row>
    <row r="480" spans="2:20" ht="15.6" x14ac:dyDescent="0.3">
      <c r="B480" s="62"/>
      <c r="C480" s="62"/>
      <c r="D480" s="64"/>
      <c r="E480" s="65"/>
      <c r="F480" s="66"/>
      <c r="G480" s="43"/>
      <c r="H480" s="67"/>
      <c r="I480" s="66"/>
      <c r="J480" s="66"/>
      <c r="K480" s="66"/>
      <c r="L480" s="66"/>
      <c r="M480" s="66"/>
      <c r="N480" s="67"/>
      <c r="O480" s="66"/>
      <c r="P480" s="68"/>
      <c r="Q480" s="68"/>
      <c r="R480" s="69"/>
      <c r="S480" s="68"/>
      <c r="T480" s="70"/>
    </row>
    <row r="481" spans="2:20" ht="15.6" x14ac:dyDescent="0.3">
      <c r="B481" s="60">
        <v>1</v>
      </c>
      <c r="C481" s="60" t="s">
        <v>709</v>
      </c>
      <c r="D481" s="34" t="s">
        <v>710</v>
      </c>
      <c r="E481" s="35">
        <v>45838</v>
      </c>
      <c r="F481" s="36">
        <v>1244.1600000000001</v>
      </c>
      <c r="G481" s="37">
        <v>10</v>
      </c>
      <c r="H481" s="38">
        <f t="shared" ref="H481:H487" si="68">+F481/G481</f>
        <v>124.41600000000001</v>
      </c>
      <c r="I481" s="36">
        <v>62628.87</v>
      </c>
      <c r="J481" s="36">
        <v>122302.709</v>
      </c>
      <c r="K481" s="36">
        <v>474097.30699999997</v>
      </c>
      <c r="L481" s="36">
        <v>2009.1310000000001</v>
      </c>
      <c r="M481" s="36">
        <v>16978.705000000002</v>
      </c>
      <c r="N481" s="38">
        <f t="shared" ref="N481:N487" si="69">+M481-O481</f>
        <v>6586.117000000002</v>
      </c>
      <c r="O481" s="36">
        <v>10392.588</v>
      </c>
      <c r="P481" s="39">
        <f>125+130</f>
        <v>255</v>
      </c>
      <c r="Q481" s="39">
        <v>0</v>
      </c>
      <c r="R481" s="40">
        <f t="shared" ref="R481:R487" si="70">SUM(P481:Q481)</f>
        <v>255</v>
      </c>
      <c r="S481" s="39"/>
      <c r="T481" s="41">
        <v>5157</v>
      </c>
    </row>
    <row r="482" spans="2:20" ht="15.6" x14ac:dyDescent="0.3">
      <c r="B482" s="60">
        <f t="shared" ref="B482:B487" si="71">+B481+1</f>
        <v>2</v>
      </c>
      <c r="C482" s="60" t="s">
        <v>711</v>
      </c>
      <c r="D482" s="34" t="s">
        <v>712</v>
      </c>
      <c r="E482" s="35">
        <v>45838</v>
      </c>
      <c r="F482" s="36">
        <v>224.88800000000001</v>
      </c>
      <c r="G482" s="37">
        <v>10</v>
      </c>
      <c r="H482" s="38">
        <f t="shared" si="68"/>
        <v>22.488800000000001</v>
      </c>
      <c r="I482" s="36">
        <v>357.56700000000001</v>
      </c>
      <c r="J482" s="36">
        <v>1301.6310000000001</v>
      </c>
      <c r="K482" s="36">
        <v>1658.578</v>
      </c>
      <c r="L482" s="36">
        <v>56.921999999999997</v>
      </c>
      <c r="M482" s="36">
        <v>29.521999999999998</v>
      </c>
      <c r="N482" s="38">
        <f t="shared" si="69"/>
        <v>0</v>
      </c>
      <c r="O482" s="36">
        <v>29.521999999999998</v>
      </c>
      <c r="P482" s="39">
        <v>0</v>
      </c>
      <c r="Q482" s="39">
        <v>0</v>
      </c>
      <c r="R482" s="40">
        <f t="shared" si="70"/>
        <v>0</v>
      </c>
      <c r="S482" s="39"/>
      <c r="T482" s="41">
        <v>1175</v>
      </c>
    </row>
    <row r="483" spans="2:20" ht="15.6" x14ac:dyDescent="0.3">
      <c r="B483" s="60">
        <f t="shared" si="71"/>
        <v>3</v>
      </c>
      <c r="C483" s="60" t="s">
        <v>713</v>
      </c>
      <c r="D483" s="34" t="s">
        <v>714</v>
      </c>
      <c r="E483" s="35">
        <v>45838</v>
      </c>
      <c r="F483" s="36">
        <v>1392.048</v>
      </c>
      <c r="G483" s="37">
        <v>10</v>
      </c>
      <c r="H483" s="38">
        <f>+F483/G483</f>
        <v>139.20480000000001</v>
      </c>
      <c r="I483" s="36">
        <v>3687.7910299999999</v>
      </c>
      <c r="J483" s="36">
        <v>8058.636794</v>
      </c>
      <c r="K483" s="36">
        <v>33042.903967999999</v>
      </c>
      <c r="L483" s="36">
        <v>405.19910499999997</v>
      </c>
      <c r="M483" s="36">
        <v>-294.70430199999998</v>
      </c>
      <c r="N483" s="38">
        <f>+M483-O483</f>
        <v>24.076598999999987</v>
      </c>
      <c r="O483" s="36">
        <v>-318.78090099999997</v>
      </c>
      <c r="P483" s="39">
        <v>0</v>
      </c>
      <c r="Q483" s="39">
        <v>0</v>
      </c>
      <c r="R483" s="40">
        <f>SUM(P483:Q483)</f>
        <v>0</v>
      </c>
      <c r="S483" s="39"/>
      <c r="T483" s="41">
        <v>4867</v>
      </c>
    </row>
    <row r="484" spans="2:20" ht="15.6" x14ac:dyDescent="0.3">
      <c r="B484" s="60">
        <f t="shared" si="71"/>
        <v>4</v>
      </c>
      <c r="C484" s="60" t="s">
        <v>715</v>
      </c>
      <c r="D484" s="34" t="s">
        <v>716</v>
      </c>
      <c r="E484" s="35">
        <v>45838</v>
      </c>
      <c r="F484" s="36">
        <v>4694.7330000000002</v>
      </c>
      <c r="G484" s="37">
        <v>10</v>
      </c>
      <c r="H484" s="38">
        <f t="shared" si="68"/>
        <v>469.47329999999999</v>
      </c>
      <c r="I484" s="36">
        <v>250291.19099999999</v>
      </c>
      <c r="J484" s="36">
        <v>1019078.036</v>
      </c>
      <c r="K484" s="36">
        <v>3149389.4389999998</v>
      </c>
      <c r="L484" s="36">
        <v>33718.201999999997</v>
      </c>
      <c r="M484" s="36">
        <v>41027.974999999999</v>
      </c>
      <c r="N484" s="38">
        <f t="shared" si="69"/>
        <v>20116.528999999999</v>
      </c>
      <c r="O484" s="36">
        <v>20911.446</v>
      </c>
      <c r="P484" s="39">
        <v>100</v>
      </c>
      <c r="Q484" s="39">
        <v>0</v>
      </c>
      <c r="R484" s="40">
        <f t="shared" si="70"/>
        <v>100</v>
      </c>
      <c r="S484" s="39"/>
      <c r="T484" s="41">
        <v>31734</v>
      </c>
    </row>
    <row r="485" spans="2:20" ht="15.6" x14ac:dyDescent="0.3">
      <c r="B485" s="60">
        <f t="shared" si="71"/>
        <v>5</v>
      </c>
      <c r="C485" s="60" t="s">
        <v>717</v>
      </c>
      <c r="D485" s="34" t="s">
        <v>718</v>
      </c>
      <c r="E485" s="35">
        <v>46022</v>
      </c>
      <c r="F485" s="36">
        <v>2140.2466199999999</v>
      </c>
      <c r="G485" s="37">
        <v>10</v>
      </c>
      <c r="H485" s="38">
        <f t="shared" si="68"/>
        <v>214.02466199999998</v>
      </c>
      <c r="I485" s="36"/>
      <c r="J485" s="36"/>
      <c r="K485" s="36"/>
      <c r="L485" s="36"/>
      <c r="M485" s="36"/>
      <c r="N485" s="38">
        <f t="shared" si="69"/>
        <v>0</v>
      </c>
      <c r="O485" s="36"/>
      <c r="P485" s="39">
        <f>30</f>
        <v>30</v>
      </c>
      <c r="Q485" s="39"/>
      <c r="R485" s="40">
        <f t="shared" si="70"/>
        <v>30</v>
      </c>
      <c r="S485" s="39"/>
      <c r="T485" s="41"/>
    </row>
    <row r="486" spans="2:20" ht="15.6" x14ac:dyDescent="0.3">
      <c r="B486" s="60">
        <f t="shared" si="71"/>
        <v>6</v>
      </c>
      <c r="C486" s="33" t="s">
        <v>719</v>
      </c>
      <c r="D486" s="34" t="s">
        <v>720</v>
      </c>
      <c r="E486" s="35">
        <v>45838</v>
      </c>
      <c r="F486" s="36">
        <v>6342.1670000000004</v>
      </c>
      <c r="G486" s="37">
        <v>10</v>
      </c>
      <c r="H486" s="38">
        <f t="shared" si="68"/>
        <v>634.21670000000006</v>
      </c>
      <c r="I486" s="36">
        <v>70646.11</v>
      </c>
      <c r="J486" s="36">
        <v>1681646.0279999999</v>
      </c>
      <c r="K486" s="36">
        <v>1408551.237</v>
      </c>
      <c r="L486" s="36">
        <v>30467.013999999999</v>
      </c>
      <c r="M486" s="36">
        <v>24446.293000000001</v>
      </c>
      <c r="N486" s="38">
        <f t="shared" si="69"/>
        <v>9854.3460000000014</v>
      </c>
      <c r="O486" s="36">
        <v>14591.947</v>
      </c>
      <c r="P486" s="39">
        <v>30</v>
      </c>
      <c r="Q486" s="39">
        <v>0</v>
      </c>
      <c r="R486" s="40">
        <f t="shared" si="70"/>
        <v>30</v>
      </c>
      <c r="S486" s="39"/>
      <c r="T486" s="41">
        <v>22242</v>
      </c>
    </row>
    <row r="487" spans="2:20" ht="15.6" x14ac:dyDescent="0.3">
      <c r="B487" s="60">
        <f t="shared" si="71"/>
        <v>7</v>
      </c>
      <c r="C487" s="60" t="s">
        <v>721</v>
      </c>
      <c r="D487" s="34" t="s">
        <v>722</v>
      </c>
      <c r="E487" s="35">
        <v>45838</v>
      </c>
      <c r="F487" s="36">
        <v>8809.16309</v>
      </c>
      <c r="G487" s="37">
        <v>10</v>
      </c>
      <c r="H487" s="38">
        <f t="shared" si="68"/>
        <v>880.91630899999996</v>
      </c>
      <c r="I487" s="36">
        <v>8268.4500000000007</v>
      </c>
      <c r="J487" s="36">
        <v>1114507.5989999999</v>
      </c>
      <c r="K487" s="36">
        <v>435073.67</v>
      </c>
      <c r="L487" s="36">
        <v>12142.883</v>
      </c>
      <c r="M487" s="36">
        <v>2689.308</v>
      </c>
      <c r="N487" s="38">
        <f t="shared" si="69"/>
        <v>0</v>
      </c>
      <c r="O487" s="36">
        <v>2689.308</v>
      </c>
      <c r="P487" s="39">
        <v>5</v>
      </c>
      <c r="Q487" s="39">
        <v>0</v>
      </c>
      <c r="R487" s="40">
        <f t="shared" si="70"/>
        <v>5</v>
      </c>
      <c r="S487" s="39"/>
      <c r="T487" s="41">
        <v>28873</v>
      </c>
    </row>
    <row r="488" spans="2:20" ht="15.6" x14ac:dyDescent="0.3">
      <c r="B488" s="88"/>
      <c r="C488" s="88"/>
      <c r="D488" s="28"/>
      <c r="E488" s="89"/>
      <c r="F488" s="66"/>
      <c r="G488" s="43"/>
      <c r="H488" s="67"/>
      <c r="I488" s="66"/>
      <c r="J488" s="66"/>
      <c r="K488" s="66"/>
      <c r="L488" s="66"/>
      <c r="M488" s="66"/>
      <c r="N488" s="67"/>
      <c r="O488" s="66"/>
      <c r="P488" s="68"/>
      <c r="Q488" s="68"/>
      <c r="R488" s="69"/>
      <c r="S488" s="68"/>
      <c r="T488" s="70"/>
    </row>
    <row r="489" spans="2:20" ht="18" x14ac:dyDescent="0.35">
      <c r="B489" s="28"/>
      <c r="C489" s="28"/>
      <c r="D489" s="56" t="s">
        <v>30</v>
      </c>
      <c r="E489" s="28"/>
      <c r="F489" s="28"/>
      <c r="G489" s="43"/>
      <c r="H489" s="44"/>
      <c r="I489" s="30"/>
      <c r="J489" s="30"/>
      <c r="K489" s="30"/>
      <c r="L489" s="30"/>
      <c r="M489" s="30"/>
      <c r="N489" s="45"/>
      <c r="O489" s="30"/>
      <c r="P489" s="30"/>
      <c r="Q489" s="30"/>
      <c r="R489" s="45"/>
      <c r="S489" s="30"/>
      <c r="T489" s="30"/>
    </row>
    <row r="490" spans="2:20" s="78" customFormat="1" ht="15.6" x14ac:dyDescent="0.3">
      <c r="B490" s="90">
        <v>1</v>
      </c>
      <c r="C490" s="90" t="s">
        <v>723</v>
      </c>
      <c r="D490" s="46" t="s">
        <v>724</v>
      </c>
      <c r="E490" s="79">
        <v>46022</v>
      </c>
      <c r="F490" s="80"/>
      <c r="G490" s="81">
        <v>10</v>
      </c>
      <c r="H490" s="82">
        <f>+F490/G490</f>
        <v>0</v>
      </c>
      <c r="I490" s="80"/>
      <c r="J490" s="80"/>
      <c r="K490" s="80"/>
      <c r="L490" s="80"/>
      <c r="M490" s="80"/>
      <c r="N490" s="82">
        <f>+M490-O490</f>
        <v>0</v>
      </c>
      <c r="O490" s="80"/>
      <c r="P490" s="83"/>
      <c r="Q490" s="83"/>
      <c r="R490" s="84">
        <f>SUM(P490:Q490)</f>
        <v>0</v>
      </c>
      <c r="S490" s="83"/>
      <c r="T490" s="85"/>
    </row>
    <row r="491" spans="2:20" ht="15.6" x14ac:dyDescent="0.3">
      <c r="B491" s="60">
        <f>+B490+1</f>
        <v>2</v>
      </c>
      <c r="C491" s="60" t="s">
        <v>725</v>
      </c>
      <c r="D491" s="34" t="s">
        <v>726</v>
      </c>
      <c r="E491" s="35">
        <v>45838</v>
      </c>
      <c r="F491" s="36">
        <v>250</v>
      </c>
      <c r="G491" s="37">
        <v>10</v>
      </c>
      <c r="H491" s="38">
        <f>+F491/G491</f>
        <v>25</v>
      </c>
      <c r="I491" s="36">
        <v>93.459399000000005</v>
      </c>
      <c r="J491" s="36">
        <v>158.93157500000001</v>
      </c>
      <c r="K491" s="36">
        <v>395.71157099999999</v>
      </c>
      <c r="L491" s="36">
        <v>5.2250639999999997</v>
      </c>
      <c r="M491" s="36">
        <v>-17.169629</v>
      </c>
      <c r="N491" s="38">
        <f>+M491-O491</f>
        <v>35.450262000000002</v>
      </c>
      <c r="O491" s="36">
        <v>-52.619891000000003</v>
      </c>
      <c r="P491" s="39">
        <v>0</v>
      </c>
      <c r="Q491" s="39">
        <v>0</v>
      </c>
      <c r="R491" s="40">
        <f>SUM(P491:Q491)</f>
        <v>0</v>
      </c>
      <c r="S491" s="39">
        <v>100</v>
      </c>
      <c r="T491" s="41">
        <v>1460</v>
      </c>
    </row>
    <row r="492" spans="2:20" ht="15.6" x14ac:dyDescent="0.3">
      <c r="B492" s="28"/>
      <c r="C492" s="28"/>
      <c r="D492" s="28"/>
      <c r="E492" s="28"/>
      <c r="F492" s="28"/>
      <c r="G492" s="43"/>
      <c r="H492" s="44"/>
      <c r="I492" s="30"/>
      <c r="J492" s="30"/>
      <c r="K492" s="30"/>
      <c r="L492" s="30"/>
      <c r="M492" s="30"/>
      <c r="N492" s="45"/>
      <c r="O492" s="30"/>
      <c r="P492" s="30"/>
      <c r="Q492" s="30"/>
      <c r="R492" s="45"/>
      <c r="S492" s="30"/>
      <c r="T492" s="30"/>
    </row>
    <row r="493" spans="2:20" ht="15.6" x14ac:dyDescent="0.3">
      <c r="B493" s="47">
        <f>COUNT(B481:B492)</f>
        <v>9</v>
      </c>
      <c r="C493" s="47"/>
      <c r="D493" s="48"/>
      <c r="E493" s="48"/>
      <c r="F493" s="48">
        <f>SUM(F481:F492)</f>
        <v>25097.405709999999</v>
      </c>
      <c r="G493" s="49"/>
      <c r="H493" s="50">
        <f>SUM(H481:H492)</f>
        <v>2509.7405710000003</v>
      </c>
      <c r="I493" s="48">
        <f>SUM(I481:I492)</f>
        <v>395973.43842899997</v>
      </c>
      <c r="J493" s="48">
        <f>SUM(J481:J492)</f>
        <v>3947053.5713689998</v>
      </c>
      <c r="K493" s="48">
        <f>SUM(K481:K492)</f>
        <v>5502208.8465389991</v>
      </c>
      <c r="L493" s="48">
        <f>SUM(L481:L492)</f>
        <v>78804.576168999993</v>
      </c>
      <c r="M493" s="48">
        <f>SUM(M481:M492)</f>
        <v>84859.92906900002</v>
      </c>
      <c r="N493" s="51">
        <f>SUM(N481:N492)</f>
        <v>36616.518861000004</v>
      </c>
      <c r="O493" s="48">
        <f>SUM(O481:O492)</f>
        <v>48243.410207999994</v>
      </c>
      <c r="P493" s="52"/>
      <c r="Q493" s="52"/>
      <c r="R493" s="53"/>
      <c r="S493" s="52"/>
      <c r="T493" s="54">
        <f>SUM(T481:T492)</f>
        <v>95508</v>
      </c>
    </row>
    <row r="494" spans="2:20" ht="15.6" x14ac:dyDescent="0.3">
      <c r="B494" s="28"/>
      <c r="C494" s="28"/>
      <c r="D494" s="28"/>
      <c r="E494" s="28"/>
      <c r="F494" s="28"/>
      <c r="G494" s="43"/>
      <c r="H494" s="44"/>
      <c r="I494" s="30"/>
      <c r="J494" s="30"/>
      <c r="K494" s="30"/>
      <c r="L494" s="30"/>
      <c r="M494" s="30"/>
      <c r="N494" s="45"/>
      <c r="O494" s="30"/>
      <c r="P494" s="30"/>
      <c r="Q494" s="30"/>
      <c r="R494" s="45"/>
      <c r="S494" s="30"/>
      <c r="T494" s="30"/>
    </row>
    <row r="495" spans="2:20" ht="15.6" x14ac:dyDescent="0.3">
      <c r="B495" s="28"/>
      <c r="C495" s="28"/>
      <c r="D495" s="28"/>
      <c r="E495" s="28"/>
      <c r="F495" s="28"/>
      <c r="G495" s="43"/>
      <c r="H495" s="44"/>
      <c r="I495" s="30"/>
      <c r="J495" s="30"/>
      <c r="K495" s="30"/>
      <c r="L495" s="30"/>
      <c r="M495" s="30"/>
      <c r="N495" s="45"/>
      <c r="O495" s="30"/>
      <c r="P495" s="30"/>
      <c r="Q495" s="30"/>
      <c r="R495" s="45"/>
      <c r="S495" s="30"/>
      <c r="T495" s="30"/>
    </row>
    <row r="496" spans="2:20" ht="18" x14ac:dyDescent="0.35">
      <c r="B496" s="28"/>
      <c r="C496" s="32">
        <v>21</v>
      </c>
      <c r="D496" s="32" t="s">
        <v>727</v>
      </c>
      <c r="E496" s="61"/>
      <c r="F496" s="61"/>
      <c r="G496" s="43"/>
      <c r="H496" s="44"/>
      <c r="I496" s="30"/>
      <c r="J496" s="30"/>
      <c r="K496" s="30"/>
      <c r="L496" s="30"/>
      <c r="M496" s="30"/>
      <c r="N496" s="45"/>
      <c r="O496" s="30"/>
      <c r="P496" s="30"/>
      <c r="Q496" s="30"/>
      <c r="R496" s="45"/>
      <c r="S496" s="30"/>
      <c r="T496" s="30"/>
    </row>
    <row r="497" spans="2:20" ht="15.6" x14ac:dyDescent="0.3">
      <c r="B497" s="28"/>
      <c r="C497" s="28"/>
      <c r="D497" s="28"/>
      <c r="E497" s="28"/>
      <c r="F497" s="28"/>
      <c r="G497" s="43"/>
      <c r="H497" s="44"/>
      <c r="I497" s="30"/>
      <c r="J497" s="30"/>
      <c r="K497" s="30"/>
      <c r="L497" s="30"/>
      <c r="M497" s="30"/>
      <c r="N497" s="45"/>
      <c r="O497" s="30"/>
      <c r="P497" s="30"/>
      <c r="Q497" s="30"/>
      <c r="R497" s="45"/>
      <c r="S497" s="30"/>
      <c r="T497" s="30"/>
    </row>
    <row r="498" spans="2:20" ht="15.6" x14ac:dyDescent="0.3">
      <c r="B498" s="60">
        <v>1</v>
      </c>
      <c r="C498" s="60" t="s">
        <v>728</v>
      </c>
      <c r="D498" s="34" t="s">
        <v>729</v>
      </c>
      <c r="E498" s="35">
        <v>45838</v>
      </c>
      <c r="F498" s="36">
        <v>12006.225</v>
      </c>
      <c r="G498" s="37">
        <v>10</v>
      </c>
      <c r="H498" s="38">
        <f>+F498/G498</f>
        <v>1200.6224999999999</v>
      </c>
      <c r="I498" s="36">
        <v>271654.05499999999</v>
      </c>
      <c r="J498" s="36">
        <v>422269.783</v>
      </c>
      <c r="K498" s="36">
        <v>177097.10399999999</v>
      </c>
      <c r="L498" s="36">
        <v>3478.1149999999998</v>
      </c>
      <c r="M498" s="36">
        <v>88173.54</v>
      </c>
      <c r="N498" s="38">
        <f>+M498-O498</f>
        <v>23037.123999999996</v>
      </c>
      <c r="O498" s="36">
        <v>65136.415999999997</v>
      </c>
      <c r="P498" s="39">
        <v>217</v>
      </c>
      <c r="Q498" s="39">
        <v>0</v>
      </c>
      <c r="R498" s="40">
        <f>SUM(P498:Q498)</f>
        <v>217</v>
      </c>
      <c r="S498" s="39"/>
      <c r="T498" s="41">
        <v>42657</v>
      </c>
    </row>
    <row r="499" spans="2:20" ht="15.6" x14ac:dyDescent="0.3">
      <c r="B499" s="60">
        <f>+B498+1</f>
        <v>2</v>
      </c>
      <c r="C499" s="60" t="s">
        <v>730</v>
      </c>
      <c r="D499" s="34" t="s">
        <v>731</v>
      </c>
      <c r="E499" s="35">
        <v>45838</v>
      </c>
      <c r="F499" s="36">
        <v>43009.284</v>
      </c>
      <c r="G499" s="37">
        <v>10</v>
      </c>
      <c r="H499" s="38">
        <f>+F499/G499</f>
        <v>4300.9283999999998</v>
      </c>
      <c r="I499" s="36">
        <v>1348237.696</v>
      </c>
      <c r="J499" s="36">
        <v>1654606.07</v>
      </c>
      <c r="K499" s="36">
        <v>401177.96899999998</v>
      </c>
      <c r="L499" s="36">
        <v>5806.27</v>
      </c>
      <c r="M499" s="36">
        <v>279314.86099999998</v>
      </c>
      <c r="N499" s="38">
        <f>+M499-O499</f>
        <v>109411.24699999997</v>
      </c>
      <c r="O499" s="36">
        <v>169903.614</v>
      </c>
      <c r="P499" s="39">
        <f>30+40.5+30+50</f>
        <v>150.5</v>
      </c>
      <c r="Q499" s="39">
        <v>0</v>
      </c>
      <c r="R499" s="40">
        <f>SUM(P499:Q499)</f>
        <v>150.5</v>
      </c>
      <c r="S499" s="39"/>
      <c r="T499" s="41">
        <v>38104</v>
      </c>
    </row>
    <row r="500" spans="2:20" ht="15.6" x14ac:dyDescent="0.3">
      <c r="B500" s="60">
        <f>+B499+1</f>
        <v>3</v>
      </c>
      <c r="C500" s="60" t="s">
        <v>732</v>
      </c>
      <c r="D500" s="34" t="s">
        <v>733</v>
      </c>
      <c r="E500" s="35">
        <v>45838</v>
      </c>
      <c r="F500" s="36">
        <v>2838.5510399999998</v>
      </c>
      <c r="G500" s="37">
        <v>10</v>
      </c>
      <c r="H500" s="38">
        <f>+F500/G500</f>
        <v>283.85510399999998</v>
      </c>
      <c r="I500" s="36">
        <v>80094.316999999995</v>
      </c>
      <c r="J500" s="36">
        <v>177003.22500000001</v>
      </c>
      <c r="K500" s="36">
        <v>57116.574999999997</v>
      </c>
      <c r="L500" s="36">
        <v>4774.8850000000002</v>
      </c>
      <c r="M500" s="36">
        <v>34819.947999999997</v>
      </c>
      <c r="N500" s="38">
        <f>+M500-O500</f>
        <v>10638.290999999997</v>
      </c>
      <c r="O500" s="36">
        <v>24181.656999999999</v>
      </c>
      <c r="P500" s="39">
        <f>250+500</f>
        <v>750</v>
      </c>
      <c r="Q500" s="39">
        <v>0</v>
      </c>
      <c r="R500" s="40">
        <f>SUM(P500:Q500)</f>
        <v>750</v>
      </c>
      <c r="S500" s="39"/>
      <c r="T500" s="41">
        <v>13117</v>
      </c>
    </row>
    <row r="501" spans="2:20" ht="15.6" x14ac:dyDescent="0.3">
      <c r="B501" s="60">
        <f>+B500+1</f>
        <v>4</v>
      </c>
      <c r="C501" s="60" t="s">
        <v>734</v>
      </c>
      <c r="D501" s="34" t="s">
        <v>735</v>
      </c>
      <c r="E501" s="35">
        <v>45838</v>
      </c>
      <c r="F501" s="36">
        <v>27209.732</v>
      </c>
      <c r="G501" s="37">
        <v>10</v>
      </c>
      <c r="H501" s="38">
        <f>+F501/G501</f>
        <v>2720.9731999999999</v>
      </c>
      <c r="I501" s="36">
        <v>705835.31</v>
      </c>
      <c r="J501" s="36">
        <v>927146.47100000002</v>
      </c>
      <c r="K501" s="36">
        <v>242516.36300000001</v>
      </c>
      <c r="L501" s="36">
        <v>2415.7539999999999</v>
      </c>
      <c r="M501" s="36">
        <v>139082.519</v>
      </c>
      <c r="N501" s="38">
        <f>+M501-O501</f>
        <v>47055.069000000003</v>
      </c>
      <c r="O501" s="36">
        <v>92027.45</v>
      </c>
      <c r="P501" s="39">
        <f>20+20+10+25</f>
        <v>75</v>
      </c>
      <c r="Q501" s="39">
        <v>0</v>
      </c>
      <c r="R501" s="40">
        <f>SUM(P501:Q501)</f>
        <v>75</v>
      </c>
      <c r="S501" s="39"/>
      <c r="T501" s="41">
        <v>34434</v>
      </c>
    </row>
    <row r="502" spans="2:20" ht="15.6" x14ac:dyDescent="0.3">
      <c r="B502" s="28"/>
      <c r="C502" s="28"/>
      <c r="D502" s="28"/>
      <c r="E502" s="28"/>
      <c r="F502" s="28"/>
      <c r="G502" s="43"/>
      <c r="H502" s="44"/>
      <c r="I502" s="30"/>
      <c r="J502" s="30"/>
      <c r="K502" s="30"/>
      <c r="L502" s="30"/>
      <c r="M502" s="30"/>
      <c r="N502" s="45"/>
      <c r="O502" s="30"/>
      <c r="P502" s="30"/>
      <c r="Q502" s="30"/>
      <c r="R502" s="45"/>
      <c r="S502" s="30"/>
      <c r="T502" s="30"/>
    </row>
    <row r="503" spans="2:20" ht="15.6" x14ac:dyDescent="0.3">
      <c r="B503" s="47">
        <f>COUNT(B498:B502)</f>
        <v>4</v>
      </c>
      <c r="C503" s="47"/>
      <c r="D503" s="48"/>
      <c r="E503" s="48"/>
      <c r="F503" s="48">
        <f>SUM(F498:F502)</f>
        <v>85063.79204</v>
      </c>
      <c r="G503" s="49"/>
      <c r="H503" s="50">
        <f t="shared" ref="H503:O503" si="72">SUM(H498:H502)</f>
        <v>8506.3792040000008</v>
      </c>
      <c r="I503" s="48">
        <f t="shared" si="72"/>
        <v>2405821.378</v>
      </c>
      <c r="J503" s="48">
        <f t="shared" si="72"/>
        <v>3181025.5490000001</v>
      </c>
      <c r="K503" s="48">
        <f t="shared" si="72"/>
        <v>877908.01099999994</v>
      </c>
      <c r="L503" s="48">
        <f t="shared" si="72"/>
        <v>16475.024000000001</v>
      </c>
      <c r="M503" s="48">
        <f t="shared" si="72"/>
        <v>541390.8679999999</v>
      </c>
      <c r="N503" s="51">
        <f t="shared" si="72"/>
        <v>190141.73099999997</v>
      </c>
      <c r="O503" s="48">
        <f t="shared" si="72"/>
        <v>351249.13699999999</v>
      </c>
      <c r="P503" s="52"/>
      <c r="Q503" s="52"/>
      <c r="R503" s="53"/>
      <c r="S503" s="52"/>
      <c r="T503" s="54">
        <f>SUM(T498:T502)</f>
        <v>128312</v>
      </c>
    </row>
    <row r="504" spans="2:20" ht="15.6" x14ac:dyDescent="0.3">
      <c r="B504" s="28"/>
      <c r="C504" s="28"/>
      <c r="D504" s="28"/>
      <c r="E504" s="28"/>
      <c r="F504" s="28"/>
      <c r="G504" s="43"/>
      <c r="H504" s="44"/>
      <c r="I504" s="30"/>
      <c r="J504" s="30"/>
      <c r="K504" s="30"/>
      <c r="L504" s="30"/>
      <c r="M504" s="30"/>
      <c r="N504" s="45"/>
      <c r="O504" s="30"/>
      <c r="P504" s="30"/>
      <c r="Q504" s="30"/>
      <c r="R504" s="45"/>
      <c r="S504" s="30"/>
      <c r="T504" s="30"/>
    </row>
    <row r="505" spans="2:20" ht="15.6" x14ac:dyDescent="0.3">
      <c r="B505" s="28"/>
      <c r="C505" s="28"/>
      <c r="D505" s="28"/>
      <c r="E505" s="28"/>
      <c r="F505" s="28"/>
      <c r="G505" s="43"/>
      <c r="H505" s="44"/>
      <c r="I505" s="30"/>
      <c r="J505" s="30"/>
      <c r="K505" s="30"/>
      <c r="L505" s="30"/>
      <c r="M505" s="30"/>
      <c r="N505" s="45"/>
      <c r="O505" s="30"/>
      <c r="P505" s="30"/>
      <c r="Q505" s="30"/>
      <c r="R505" s="45"/>
      <c r="S505" s="30"/>
      <c r="T505" s="30"/>
    </row>
    <row r="506" spans="2:20" ht="18" x14ac:dyDescent="0.35">
      <c r="B506" s="28"/>
      <c r="C506" s="32">
        <v>22</v>
      </c>
      <c r="D506" s="32" t="s">
        <v>736</v>
      </c>
      <c r="E506" s="61"/>
      <c r="F506" s="61"/>
      <c r="G506" s="43"/>
      <c r="H506" s="44"/>
      <c r="I506" s="30"/>
      <c r="J506" s="30"/>
      <c r="K506" s="30"/>
      <c r="L506" s="30"/>
      <c r="M506" s="30"/>
      <c r="N506" s="45"/>
      <c r="O506" s="30"/>
      <c r="P506" s="30"/>
      <c r="Q506" s="30"/>
      <c r="R506" s="45"/>
      <c r="S506" s="30"/>
      <c r="T506" s="30"/>
    </row>
    <row r="507" spans="2:20" ht="15.6" x14ac:dyDescent="0.3">
      <c r="B507" s="33">
        <v>1</v>
      </c>
      <c r="C507" s="33" t="s">
        <v>737</v>
      </c>
      <c r="D507" s="34" t="s">
        <v>738</v>
      </c>
      <c r="E507" s="35">
        <v>45838</v>
      </c>
      <c r="F507" s="36">
        <v>6048.7905799999999</v>
      </c>
      <c r="G507" s="37">
        <v>10</v>
      </c>
      <c r="H507" s="38">
        <f t="shared" ref="H507:H520" si="73">+F507/G507</f>
        <v>604.87905799999999</v>
      </c>
      <c r="I507" s="36">
        <v>20926.822</v>
      </c>
      <c r="J507" s="36">
        <v>55707.652000000002</v>
      </c>
      <c r="K507" s="36">
        <v>10674.618</v>
      </c>
      <c r="L507" s="36">
        <v>4196.6769999999997</v>
      </c>
      <c r="M507" s="36">
        <v>-7999.02</v>
      </c>
      <c r="N507" s="38">
        <f t="shared" ref="N507:N520" si="74">+M507-O507</f>
        <v>-787.60200000000077</v>
      </c>
      <c r="O507" s="36">
        <v>-7211.4179999999997</v>
      </c>
      <c r="P507" s="39">
        <v>0</v>
      </c>
      <c r="Q507" s="39">
        <v>0</v>
      </c>
      <c r="R507" s="40">
        <f t="shared" ref="R507:R520" si="75">SUM(P507:Q507)</f>
        <v>0</v>
      </c>
      <c r="S507" s="39"/>
      <c r="T507" s="41">
        <v>6521</v>
      </c>
    </row>
    <row r="508" spans="2:20" ht="15.6" x14ac:dyDescent="0.3">
      <c r="B508" s="33">
        <f t="shared" ref="B508:B519" si="76">+B507+1</f>
        <v>2</v>
      </c>
      <c r="C508" s="33" t="s">
        <v>739</v>
      </c>
      <c r="D508" s="34" t="s">
        <v>740</v>
      </c>
      <c r="E508" s="35">
        <v>45838</v>
      </c>
      <c r="F508" s="36">
        <v>9300.1595500000003</v>
      </c>
      <c r="G508" s="37">
        <v>10</v>
      </c>
      <c r="H508" s="38">
        <f t="shared" si="73"/>
        <v>930.01595500000008</v>
      </c>
      <c r="I508" s="36">
        <v>20616.113000000001</v>
      </c>
      <c r="J508" s="36">
        <v>38756.457000000002</v>
      </c>
      <c r="K508" s="36">
        <v>33751.703000000001</v>
      </c>
      <c r="L508" s="36">
        <v>2732.4650000000001</v>
      </c>
      <c r="M508" s="36">
        <v>-1720.162</v>
      </c>
      <c r="N508" s="38">
        <f t="shared" si="74"/>
        <v>-368.30799999999999</v>
      </c>
      <c r="O508" s="36">
        <v>-1351.854</v>
      </c>
      <c r="P508" s="39">
        <v>0</v>
      </c>
      <c r="Q508" s="39">
        <v>0</v>
      </c>
      <c r="R508" s="40">
        <f t="shared" si="75"/>
        <v>0</v>
      </c>
      <c r="S508" s="39"/>
      <c r="T508" s="41">
        <v>10397</v>
      </c>
    </row>
    <row r="509" spans="2:20" ht="15.6" x14ac:dyDescent="0.3">
      <c r="B509" s="33">
        <f t="shared" si="76"/>
        <v>3</v>
      </c>
      <c r="C509" s="33" t="s">
        <v>741</v>
      </c>
      <c r="D509" s="34" t="s">
        <v>742</v>
      </c>
      <c r="E509" s="35">
        <v>45838</v>
      </c>
      <c r="F509" s="36">
        <v>2970.11427</v>
      </c>
      <c r="G509" s="37">
        <v>10</v>
      </c>
      <c r="H509" s="38">
        <f t="shared" si="73"/>
        <v>297.01142700000003</v>
      </c>
      <c r="I509" s="36">
        <v>10449.567999999999</v>
      </c>
      <c r="J509" s="36">
        <v>43356.908000000003</v>
      </c>
      <c r="K509" s="36">
        <v>16082.614</v>
      </c>
      <c r="L509" s="36">
        <v>4099.9970000000003</v>
      </c>
      <c r="M509" s="36">
        <v>-5386.2030000000004</v>
      </c>
      <c r="N509" s="38">
        <f t="shared" si="74"/>
        <v>-1574.8440000000005</v>
      </c>
      <c r="O509" s="36">
        <v>-3811.3589999999999</v>
      </c>
      <c r="P509" s="39">
        <v>0</v>
      </c>
      <c r="Q509" s="39">
        <v>0</v>
      </c>
      <c r="R509" s="40">
        <f t="shared" si="75"/>
        <v>0</v>
      </c>
      <c r="S509" s="39"/>
      <c r="T509" s="41">
        <v>8695</v>
      </c>
    </row>
    <row r="510" spans="2:20" ht="15.6" x14ac:dyDescent="0.3">
      <c r="B510" s="33">
        <f t="shared" si="76"/>
        <v>4</v>
      </c>
      <c r="C510" s="33" t="s">
        <v>743</v>
      </c>
      <c r="D510" s="34" t="s">
        <v>744</v>
      </c>
      <c r="E510" s="35">
        <v>45838</v>
      </c>
      <c r="F510" s="36">
        <v>114.72529</v>
      </c>
      <c r="G510" s="37">
        <v>10</v>
      </c>
      <c r="H510" s="38">
        <f t="shared" si="73"/>
        <v>11.472529</v>
      </c>
      <c r="I510" s="36">
        <v>321.36206299999998</v>
      </c>
      <c r="J510" s="36">
        <v>796.77762199999995</v>
      </c>
      <c r="K510" s="36">
        <v>1712.641867</v>
      </c>
      <c r="L510" s="36">
        <v>34.870888000000001</v>
      </c>
      <c r="M510" s="36">
        <v>-0.55494100000000002</v>
      </c>
      <c r="N510" s="38">
        <f t="shared" si="74"/>
        <v>18.590540000000001</v>
      </c>
      <c r="O510" s="36">
        <v>-19.145481</v>
      </c>
      <c r="P510" s="39">
        <v>0</v>
      </c>
      <c r="Q510" s="39">
        <v>0</v>
      </c>
      <c r="R510" s="40">
        <f t="shared" si="75"/>
        <v>0</v>
      </c>
      <c r="S510" s="39"/>
      <c r="T510" s="41">
        <v>1854</v>
      </c>
    </row>
    <row r="511" spans="2:20" ht="15.6" x14ac:dyDescent="0.3">
      <c r="B511" s="33">
        <f t="shared" si="76"/>
        <v>5</v>
      </c>
      <c r="C511" s="60" t="s">
        <v>745</v>
      </c>
      <c r="D511" s="34" t="s">
        <v>746</v>
      </c>
      <c r="E511" s="35">
        <v>45838</v>
      </c>
      <c r="F511" s="36">
        <v>1249.6251</v>
      </c>
      <c r="G511" s="37">
        <v>10</v>
      </c>
      <c r="H511" s="38">
        <f>+F511/G511</f>
        <v>124.96250999999999</v>
      </c>
      <c r="I511" s="36">
        <v>3225.7599279999999</v>
      </c>
      <c r="J511" s="36">
        <v>7665.7328390000002</v>
      </c>
      <c r="K511" s="36">
        <v>7451.4854859999996</v>
      </c>
      <c r="L511" s="36">
        <v>5.7874109999999996</v>
      </c>
      <c r="M511" s="36">
        <v>179.76460299999999</v>
      </c>
      <c r="N511" s="38">
        <f>+M511-O511</f>
        <v>68.279830999999987</v>
      </c>
      <c r="O511" s="36">
        <v>111.48477200000001</v>
      </c>
      <c r="P511" s="39">
        <v>0</v>
      </c>
      <c r="Q511" s="39">
        <v>0</v>
      </c>
      <c r="R511" s="40">
        <f>SUM(P511:Q511)</f>
        <v>0</v>
      </c>
      <c r="S511" s="39"/>
      <c r="T511" s="41">
        <v>1192</v>
      </c>
    </row>
    <row r="512" spans="2:20" ht="15.6" x14ac:dyDescent="0.3">
      <c r="B512" s="33">
        <f t="shared" si="76"/>
        <v>6</v>
      </c>
      <c r="C512" s="33" t="s">
        <v>747</v>
      </c>
      <c r="D512" s="34" t="s">
        <v>748</v>
      </c>
      <c r="E512" s="35">
        <v>45838</v>
      </c>
      <c r="F512" s="36">
        <v>776.32491000000005</v>
      </c>
      <c r="G512" s="37">
        <v>10</v>
      </c>
      <c r="H512" s="38">
        <f t="shared" si="73"/>
        <v>77.632491000000002</v>
      </c>
      <c r="I512" s="36">
        <v>8751.7669999999998</v>
      </c>
      <c r="J512" s="36">
        <v>15919.776</v>
      </c>
      <c r="K512" s="36">
        <v>6380.65</v>
      </c>
      <c r="L512" s="36">
        <v>288.416</v>
      </c>
      <c r="M512" s="36">
        <f>2007.215-98.993</f>
        <v>1908.222</v>
      </c>
      <c r="N512" s="38">
        <f t="shared" si="74"/>
        <v>564.94299999999998</v>
      </c>
      <c r="O512" s="36">
        <v>1343.279</v>
      </c>
      <c r="P512" s="39">
        <f>20+30+25</f>
        <v>75</v>
      </c>
      <c r="Q512" s="39">
        <v>0</v>
      </c>
      <c r="R512" s="40">
        <f>SUM(P512:Q512)</f>
        <v>75</v>
      </c>
      <c r="S512" s="39"/>
      <c r="T512" s="41">
        <v>4290</v>
      </c>
    </row>
    <row r="513" spans="2:20" ht="15.6" x14ac:dyDescent="0.3">
      <c r="B513" s="33">
        <f t="shared" si="76"/>
        <v>7</v>
      </c>
      <c r="C513" s="33" t="s">
        <v>749</v>
      </c>
      <c r="D513" s="34" t="s">
        <v>750</v>
      </c>
      <c r="E513" s="35">
        <v>45838</v>
      </c>
      <c r="F513" s="36">
        <v>107.64</v>
      </c>
      <c r="G513" s="37">
        <v>10</v>
      </c>
      <c r="H513" s="38">
        <f t="shared" si="73"/>
        <v>10.763999999999999</v>
      </c>
      <c r="I513" s="36">
        <v>434.80399999999997</v>
      </c>
      <c r="J513" s="36">
        <v>2873.3040000000001</v>
      </c>
      <c r="K513" s="36">
        <v>780.94299999999998</v>
      </c>
      <c r="L513" s="36">
        <v>120.423</v>
      </c>
      <c r="M513" s="36">
        <v>-390.28699999999998</v>
      </c>
      <c r="N513" s="38">
        <f t="shared" si="74"/>
        <v>16.760000000000048</v>
      </c>
      <c r="O513" s="36">
        <v>-407.04700000000003</v>
      </c>
      <c r="P513" s="39">
        <v>0</v>
      </c>
      <c r="Q513" s="39">
        <v>0</v>
      </c>
      <c r="R513" s="40">
        <f t="shared" si="75"/>
        <v>0</v>
      </c>
      <c r="S513" s="39"/>
      <c r="T513" s="41">
        <v>3691</v>
      </c>
    </row>
    <row r="514" spans="2:20" ht="15.6" x14ac:dyDescent="0.3">
      <c r="B514" s="33">
        <f t="shared" si="76"/>
        <v>8</v>
      </c>
      <c r="C514" s="33" t="s">
        <v>751</v>
      </c>
      <c r="D514" s="34" t="s">
        <v>752</v>
      </c>
      <c r="E514" s="35">
        <v>45838</v>
      </c>
      <c r="F514" s="36">
        <v>1318.8186000000001</v>
      </c>
      <c r="G514" s="37">
        <v>10</v>
      </c>
      <c r="H514" s="38">
        <f t="shared" si="73"/>
        <v>131.88186000000002</v>
      </c>
      <c r="I514" s="36">
        <v>19658.721000000001</v>
      </c>
      <c r="J514" s="36">
        <v>29919.042000000001</v>
      </c>
      <c r="K514" s="36">
        <v>25096.323</v>
      </c>
      <c r="L514" s="36">
        <v>609.24800000000005</v>
      </c>
      <c r="M514" s="36">
        <v>1565.34</v>
      </c>
      <c r="N514" s="38">
        <f t="shared" si="74"/>
        <v>461.01599999999985</v>
      </c>
      <c r="O514" s="36">
        <v>1104.3240000000001</v>
      </c>
      <c r="P514" s="39">
        <v>40</v>
      </c>
      <c r="Q514" s="39">
        <v>0</v>
      </c>
      <c r="R514" s="40">
        <f t="shared" si="75"/>
        <v>40</v>
      </c>
      <c r="S514" s="39"/>
      <c r="T514" s="41">
        <v>4499</v>
      </c>
    </row>
    <row r="515" spans="2:20" ht="15.6" x14ac:dyDescent="0.3">
      <c r="B515" s="33">
        <f t="shared" si="76"/>
        <v>9</v>
      </c>
      <c r="C515" s="33" t="s">
        <v>753</v>
      </c>
      <c r="D515" s="34" t="s">
        <v>754</v>
      </c>
      <c r="E515" s="35">
        <v>45838</v>
      </c>
      <c r="F515" s="36">
        <v>4350</v>
      </c>
      <c r="G515" s="37">
        <v>10</v>
      </c>
      <c r="H515" s="38">
        <f t="shared" si="73"/>
        <v>435</v>
      </c>
      <c r="I515" s="36">
        <v>25110.621999999999</v>
      </c>
      <c r="J515" s="36">
        <v>50067.519</v>
      </c>
      <c r="K515" s="36">
        <v>62310.883000000002</v>
      </c>
      <c r="L515" s="36">
        <v>805.57100000000003</v>
      </c>
      <c r="M515" s="36">
        <v>2449.6089999999999</v>
      </c>
      <c r="N515" s="38">
        <f t="shared" si="74"/>
        <v>890.34799999999996</v>
      </c>
      <c r="O515" s="36">
        <v>1559.261</v>
      </c>
      <c r="P515" s="39">
        <v>25</v>
      </c>
      <c r="Q515" s="39">
        <v>0</v>
      </c>
      <c r="R515" s="40">
        <f t="shared" si="75"/>
        <v>25</v>
      </c>
      <c r="S515" s="39"/>
      <c r="T515" s="41">
        <v>6083</v>
      </c>
    </row>
    <row r="516" spans="2:20" ht="15.6" x14ac:dyDescent="0.3">
      <c r="B516" s="33">
        <f t="shared" si="76"/>
        <v>10</v>
      </c>
      <c r="C516" s="33" t="s">
        <v>755</v>
      </c>
      <c r="D516" s="34" t="s">
        <v>756</v>
      </c>
      <c r="E516" s="35">
        <v>45838</v>
      </c>
      <c r="F516" s="36">
        <v>1443.43364</v>
      </c>
      <c r="G516" s="37">
        <v>10</v>
      </c>
      <c r="H516" s="38">
        <f t="shared" si="73"/>
        <v>144.34336400000001</v>
      </c>
      <c r="I516" s="36">
        <v>3495.5348650000001</v>
      </c>
      <c r="J516" s="36">
        <v>5366.7797060000003</v>
      </c>
      <c r="K516" s="36">
        <v>2651.935301</v>
      </c>
      <c r="L516" s="36">
        <v>88.557507999999999</v>
      </c>
      <c r="M516" s="36">
        <v>-664.96079099999997</v>
      </c>
      <c r="N516" s="38">
        <f t="shared" si="74"/>
        <v>-6.9811419999999771</v>
      </c>
      <c r="O516" s="36">
        <v>-657.97964899999999</v>
      </c>
      <c r="P516" s="39">
        <v>0</v>
      </c>
      <c r="Q516" s="39">
        <v>0</v>
      </c>
      <c r="R516" s="40">
        <f t="shared" si="75"/>
        <v>0</v>
      </c>
      <c r="S516" s="39"/>
      <c r="T516" s="41">
        <v>4891</v>
      </c>
    </row>
    <row r="517" spans="2:20" ht="15.6" x14ac:dyDescent="0.3">
      <c r="B517" s="33">
        <f t="shared" si="76"/>
        <v>11</v>
      </c>
      <c r="C517" s="33" t="s">
        <v>757</v>
      </c>
      <c r="D517" s="34" t="s">
        <v>758</v>
      </c>
      <c r="E517" s="35">
        <v>46022</v>
      </c>
      <c r="F517" s="36"/>
      <c r="G517" s="37">
        <v>10</v>
      </c>
      <c r="H517" s="38">
        <f t="shared" si="73"/>
        <v>0</v>
      </c>
      <c r="I517" s="36"/>
      <c r="J517" s="36"/>
      <c r="K517" s="36"/>
      <c r="L517" s="36"/>
      <c r="M517" s="36"/>
      <c r="N517" s="38">
        <f t="shared" si="74"/>
        <v>0</v>
      </c>
      <c r="O517" s="36"/>
      <c r="P517" s="39"/>
      <c r="Q517" s="39"/>
      <c r="R517" s="40">
        <f t="shared" si="75"/>
        <v>0</v>
      </c>
      <c r="S517" s="91"/>
      <c r="T517" s="41"/>
    </row>
    <row r="518" spans="2:20" ht="15.6" x14ac:dyDescent="0.3">
      <c r="B518" s="33">
        <f t="shared" si="76"/>
        <v>12</v>
      </c>
      <c r="C518" s="33" t="s">
        <v>759</v>
      </c>
      <c r="D518" s="34" t="s">
        <v>760</v>
      </c>
      <c r="E518" s="35">
        <v>45838</v>
      </c>
      <c r="F518" s="36">
        <v>309.77600000000001</v>
      </c>
      <c r="G518" s="37">
        <v>10</v>
      </c>
      <c r="H518" s="38">
        <f t="shared" si="73"/>
        <v>30.977600000000002</v>
      </c>
      <c r="I518" s="36">
        <v>844.88199999999995</v>
      </c>
      <c r="J518" s="36">
        <v>912.95699999999999</v>
      </c>
      <c r="K518" s="36">
        <v>100.747</v>
      </c>
      <c r="L518" s="36">
        <v>2.5000000000000001E-2</v>
      </c>
      <c r="M518" s="36">
        <v>-14.269</v>
      </c>
      <c r="N518" s="38">
        <f t="shared" si="74"/>
        <v>-1.8460000000000001</v>
      </c>
      <c r="O518" s="36">
        <v>-12.423</v>
      </c>
      <c r="P518" s="39">
        <v>0</v>
      </c>
      <c r="Q518" s="39">
        <v>0</v>
      </c>
      <c r="R518" s="40">
        <f t="shared" si="75"/>
        <v>0</v>
      </c>
      <c r="S518" s="39"/>
      <c r="T518" s="41">
        <v>3964</v>
      </c>
    </row>
    <row r="519" spans="2:20" ht="15.6" x14ac:dyDescent="0.3">
      <c r="B519" s="33">
        <f t="shared" si="76"/>
        <v>13</v>
      </c>
      <c r="C519" s="33" t="s">
        <v>761</v>
      </c>
      <c r="D519" s="34" t="s">
        <v>762</v>
      </c>
      <c r="E519" s="35">
        <v>45838</v>
      </c>
      <c r="F519" s="36">
        <v>3356.3393299999998</v>
      </c>
      <c r="G519" s="37">
        <v>10</v>
      </c>
      <c r="H519" s="38">
        <f>+F519/G519</f>
        <v>335.63393299999996</v>
      </c>
      <c r="I519" s="36">
        <v>28819.254961999999</v>
      </c>
      <c r="J519" s="36">
        <v>67692.661842000001</v>
      </c>
      <c r="K519" s="36">
        <v>89413.926330000002</v>
      </c>
      <c r="L519" s="36">
        <v>5723.0290480000003</v>
      </c>
      <c r="M519" s="36">
        <v>1839.5</v>
      </c>
      <c r="N519" s="38">
        <f>+M519-O519</f>
        <v>873.98182599999996</v>
      </c>
      <c r="O519" s="36">
        <v>965.51817400000004</v>
      </c>
      <c r="P519" s="39">
        <v>0</v>
      </c>
      <c r="Q519" s="39">
        <v>0</v>
      </c>
      <c r="R519" s="40">
        <f>SUM(P519:Q519)</f>
        <v>0</v>
      </c>
      <c r="S519" s="39">
        <v>9.85</v>
      </c>
      <c r="T519" s="41">
        <v>7746</v>
      </c>
    </row>
    <row r="520" spans="2:20" ht="15.6" x14ac:dyDescent="0.3">
      <c r="B520" s="33"/>
      <c r="C520" s="33" t="s">
        <v>763</v>
      </c>
      <c r="D520" s="34" t="s">
        <v>764</v>
      </c>
      <c r="E520" s="35">
        <v>45838</v>
      </c>
      <c r="F520" s="36">
        <v>330.62446999999997</v>
      </c>
      <c r="G520" s="37">
        <v>10</v>
      </c>
      <c r="H520" s="38">
        <f t="shared" si="73"/>
        <v>33.062446999999999</v>
      </c>
      <c r="I520" s="36"/>
      <c r="J520" s="36"/>
      <c r="K520" s="36"/>
      <c r="L520" s="36"/>
      <c r="M520" s="36"/>
      <c r="N520" s="38">
        <f t="shared" si="74"/>
        <v>0</v>
      </c>
      <c r="O520" s="36"/>
      <c r="P520" s="39">
        <v>0</v>
      </c>
      <c r="Q520" s="39">
        <v>0</v>
      </c>
      <c r="R520" s="40">
        <f t="shared" si="75"/>
        <v>0</v>
      </c>
      <c r="S520" s="39">
        <v>9.85</v>
      </c>
      <c r="T520" s="41"/>
    </row>
    <row r="521" spans="2:20" ht="15.6" x14ac:dyDescent="0.3">
      <c r="B521" s="28"/>
      <c r="C521" s="28"/>
      <c r="D521" s="28"/>
      <c r="E521" s="28"/>
      <c r="F521" s="28"/>
      <c r="G521" s="43"/>
      <c r="H521" s="44"/>
      <c r="I521" s="30"/>
      <c r="J521" s="30"/>
      <c r="K521" s="30"/>
      <c r="L521" s="30"/>
      <c r="M521" s="30"/>
      <c r="N521" s="45"/>
      <c r="O521" s="30"/>
      <c r="P521" s="30"/>
      <c r="Q521" s="30"/>
      <c r="R521" s="45"/>
      <c r="S521" s="30"/>
      <c r="T521" s="30"/>
    </row>
    <row r="522" spans="2:20" ht="18" x14ac:dyDescent="0.35">
      <c r="B522" s="28"/>
      <c r="C522" s="28"/>
      <c r="D522" s="56" t="s">
        <v>30</v>
      </c>
      <c r="E522" s="28"/>
      <c r="F522" s="28"/>
      <c r="G522" s="43"/>
      <c r="H522" s="44"/>
      <c r="I522" s="30"/>
      <c r="J522" s="30"/>
      <c r="K522" s="30"/>
      <c r="L522" s="30"/>
      <c r="M522" s="30"/>
      <c r="N522" s="45"/>
      <c r="O522" s="30"/>
      <c r="P522" s="30"/>
      <c r="Q522" s="30"/>
      <c r="R522" s="45"/>
      <c r="S522" s="30"/>
      <c r="T522" s="30"/>
    </row>
    <row r="523" spans="2:20" ht="15.6" x14ac:dyDescent="0.3">
      <c r="B523" s="33">
        <v>1</v>
      </c>
      <c r="C523" s="33" t="s">
        <v>765</v>
      </c>
      <c r="D523" s="34" t="s">
        <v>766</v>
      </c>
      <c r="E523" s="35">
        <v>45838</v>
      </c>
      <c r="F523" s="36">
        <v>4446.9557699999996</v>
      </c>
      <c r="G523" s="37">
        <v>10</v>
      </c>
      <c r="H523" s="38">
        <f>+F523/G523</f>
        <v>444.69557699999996</v>
      </c>
      <c r="I523" s="36">
        <v>6451.0441369999999</v>
      </c>
      <c r="J523" s="36">
        <v>10294.310767000001</v>
      </c>
      <c r="K523" s="36">
        <v>0</v>
      </c>
      <c r="L523" s="36">
        <v>129.24963099999999</v>
      </c>
      <c r="M523" s="36">
        <v>243.462411</v>
      </c>
      <c r="N523" s="38">
        <f>+M523-O523</f>
        <v>-58.998167999999993</v>
      </c>
      <c r="O523" s="36">
        <v>302.460579</v>
      </c>
      <c r="P523" s="39">
        <v>0</v>
      </c>
      <c r="Q523" s="39">
        <v>0</v>
      </c>
      <c r="R523" s="40">
        <f>SUM(P523:Q523)</f>
        <v>0</v>
      </c>
      <c r="S523" s="39">
        <v>100</v>
      </c>
      <c r="T523" s="41">
        <v>10140</v>
      </c>
    </row>
    <row r="524" spans="2:20" ht="15.6" x14ac:dyDescent="0.3">
      <c r="B524" s="33">
        <f>+B523+1</f>
        <v>2</v>
      </c>
      <c r="C524" s="33" t="s">
        <v>767</v>
      </c>
      <c r="D524" s="34" t="s">
        <v>768</v>
      </c>
      <c r="E524" s="35">
        <v>45838</v>
      </c>
      <c r="F524" s="36"/>
      <c r="G524" s="37">
        <v>10</v>
      </c>
      <c r="H524" s="38">
        <f>+F524/G524</f>
        <v>0</v>
      </c>
      <c r="I524" s="36"/>
      <c r="J524" s="36"/>
      <c r="K524" s="36"/>
      <c r="L524" s="36"/>
      <c r="M524" s="36"/>
      <c r="N524" s="38">
        <f>+M524-O524</f>
        <v>0</v>
      </c>
      <c r="O524" s="36"/>
      <c r="P524" s="39"/>
      <c r="Q524" s="39"/>
      <c r="R524" s="40">
        <f>SUM(P524:Q524)</f>
        <v>0</v>
      </c>
      <c r="S524" s="39"/>
      <c r="T524" s="41"/>
    </row>
    <row r="525" spans="2:20" ht="15.6" x14ac:dyDescent="0.3">
      <c r="B525" s="33">
        <f>+B524+1</f>
        <v>3</v>
      </c>
      <c r="C525" s="33" t="s">
        <v>769</v>
      </c>
      <c r="D525" s="34" t="s">
        <v>770</v>
      </c>
      <c r="E525" s="35">
        <v>45838</v>
      </c>
      <c r="F525" s="36"/>
      <c r="G525" s="37">
        <v>10</v>
      </c>
      <c r="H525" s="38">
        <f>+F525/G525</f>
        <v>0</v>
      </c>
      <c r="I525" s="36"/>
      <c r="J525" s="36"/>
      <c r="K525" s="36"/>
      <c r="L525" s="36"/>
      <c r="M525" s="36"/>
      <c r="N525" s="38">
        <f>+M525-O525</f>
        <v>0</v>
      </c>
      <c r="O525" s="36"/>
      <c r="P525" s="39"/>
      <c r="Q525" s="39"/>
      <c r="R525" s="40">
        <f>SUM(P525:Q525)</f>
        <v>0</v>
      </c>
      <c r="S525" s="39"/>
      <c r="T525" s="41"/>
    </row>
    <row r="526" spans="2:20" ht="15.6" x14ac:dyDescent="0.3">
      <c r="B526" s="28"/>
      <c r="C526" s="28"/>
      <c r="D526" s="28"/>
      <c r="E526" s="28"/>
      <c r="F526" s="28"/>
      <c r="G526" s="43"/>
      <c r="H526" s="44"/>
      <c r="I526" s="30"/>
      <c r="J526" s="30"/>
      <c r="K526" s="30"/>
      <c r="L526" s="30"/>
      <c r="M526" s="30"/>
      <c r="N526" s="45"/>
      <c r="O526" s="30"/>
      <c r="P526" s="30"/>
      <c r="Q526" s="30"/>
      <c r="R526" s="45"/>
      <c r="S526" s="30"/>
      <c r="T526" s="30"/>
    </row>
    <row r="527" spans="2:20" ht="15.6" x14ac:dyDescent="0.3">
      <c r="B527" s="47">
        <f>COUNT(B507:B526)</f>
        <v>16</v>
      </c>
      <c r="C527" s="47"/>
      <c r="D527" s="48"/>
      <c r="E527" s="48"/>
      <c r="F527" s="48">
        <f>SUM(F507:F526)</f>
        <v>36123.327509999996</v>
      </c>
      <c r="G527" s="49"/>
      <c r="H527" s="50">
        <f>SUM(H507:H526)</f>
        <v>3612.3327509999999</v>
      </c>
      <c r="I527" s="48">
        <f>SUM(I507:I526)</f>
        <v>149106.25495499998</v>
      </c>
      <c r="J527" s="48">
        <f>SUM(J507:J526)</f>
        <v>329329.87777600001</v>
      </c>
      <c r="K527" s="48">
        <f>SUM(K507:K526)</f>
        <v>256408.46998399997</v>
      </c>
      <c r="L527" s="48">
        <f>SUM(L507:L526)</f>
        <v>18834.316485999996</v>
      </c>
      <c r="M527" s="48">
        <f>SUM(M507:M526)</f>
        <v>-7989.558718000002</v>
      </c>
      <c r="N527" s="51">
        <f>SUM(N507:N526)</f>
        <v>95.33988699999847</v>
      </c>
      <c r="O527" s="48">
        <f>SUM(O507:O526)</f>
        <v>-8084.8986049999994</v>
      </c>
      <c r="P527" s="52"/>
      <c r="Q527" s="52"/>
      <c r="R527" s="53"/>
      <c r="S527" s="52"/>
      <c r="T527" s="54">
        <f>SUM(T507:T526)</f>
        <v>73963</v>
      </c>
    </row>
    <row r="528" spans="2:20" ht="15.6" x14ac:dyDescent="0.3">
      <c r="B528" s="28"/>
      <c r="C528" s="28"/>
      <c r="D528" s="28"/>
      <c r="E528" s="28"/>
      <c r="F528" s="28"/>
      <c r="G528" s="43"/>
      <c r="H528" s="44"/>
      <c r="I528" s="30"/>
      <c r="J528" s="30"/>
      <c r="K528" s="30"/>
      <c r="L528" s="30"/>
      <c r="M528" s="30"/>
      <c r="N528" s="45"/>
      <c r="O528" s="30"/>
      <c r="P528" s="30"/>
      <c r="Q528" s="30"/>
      <c r="R528" s="45"/>
      <c r="S528" s="30"/>
      <c r="T528" s="30"/>
    </row>
    <row r="529" spans="2:20" ht="15.6" x14ac:dyDescent="0.3">
      <c r="B529" s="28"/>
      <c r="C529" s="28"/>
      <c r="D529" s="28"/>
      <c r="E529" s="28"/>
      <c r="F529" s="28"/>
      <c r="G529" s="43"/>
      <c r="H529" s="44"/>
      <c r="I529" s="30"/>
      <c r="J529" s="30"/>
      <c r="K529" s="30"/>
      <c r="L529" s="30"/>
      <c r="M529" s="30"/>
      <c r="N529" s="45"/>
      <c r="O529" s="30"/>
      <c r="P529" s="30"/>
      <c r="Q529" s="30"/>
      <c r="R529" s="45"/>
      <c r="S529" s="30"/>
      <c r="T529" s="30"/>
    </row>
    <row r="530" spans="2:20" ht="18" x14ac:dyDescent="0.35">
      <c r="B530" s="28"/>
      <c r="C530" s="32">
        <v>23</v>
      </c>
      <c r="D530" s="32" t="s">
        <v>771</v>
      </c>
      <c r="E530" s="61"/>
      <c r="F530" s="61"/>
      <c r="G530" s="43"/>
      <c r="H530" s="44"/>
      <c r="I530" s="30"/>
      <c r="J530" s="30"/>
      <c r="K530" s="30"/>
      <c r="L530" s="30"/>
      <c r="M530" s="30"/>
      <c r="N530" s="45"/>
      <c r="O530" s="30"/>
      <c r="P530" s="30"/>
      <c r="Q530" s="30"/>
      <c r="R530" s="45"/>
      <c r="S530" s="30"/>
      <c r="T530" s="30"/>
    </row>
    <row r="531" spans="2:20" ht="15.6" x14ac:dyDescent="0.3">
      <c r="B531" s="28"/>
      <c r="C531" s="28"/>
      <c r="D531" s="28"/>
      <c r="E531" s="28"/>
      <c r="F531" s="28"/>
      <c r="G531" s="43"/>
      <c r="H531" s="44"/>
      <c r="I531" s="30"/>
      <c r="J531" s="30"/>
      <c r="K531" s="30"/>
      <c r="L531" s="30"/>
      <c r="M531" s="30"/>
      <c r="N531" s="45"/>
      <c r="O531" s="30"/>
      <c r="P531" s="30"/>
      <c r="Q531" s="30"/>
      <c r="R531" s="45"/>
      <c r="S531" s="30"/>
      <c r="T531" s="30"/>
    </row>
    <row r="532" spans="2:20" ht="15.6" x14ac:dyDescent="0.3">
      <c r="B532" s="33">
        <v>1</v>
      </c>
      <c r="C532" s="33" t="s">
        <v>772</v>
      </c>
      <c r="D532" s="34" t="s">
        <v>773</v>
      </c>
      <c r="E532" s="35">
        <v>46022</v>
      </c>
      <c r="F532" s="36"/>
      <c r="G532" s="37">
        <v>5</v>
      </c>
      <c r="H532" s="38">
        <f t="shared" ref="H532:H540" si="77">+F532/G532</f>
        <v>0</v>
      </c>
      <c r="I532" s="36"/>
      <c r="J532" s="36"/>
      <c r="K532" s="36"/>
      <c r="L532" s="36"/>
      <c r="M532" s="36"/>
      <c r="N532" s="38">
        <f t="shared" ref="N532:N540" si="78">+M532-O532</f>
        <v>0</v>
      </c>
      <c r="O532" s="36"/>
      <c r="P532" s="39"/>
      <c r="Q532" s="39"/>
      <c r="R532" s="40">
        <f t="shared" ref="R532:R540" si="79">SUM(P532:Q532)</f>
        <v>0</v>
      </c>
      <c r="S532" s="39"/>
      <c r="T532" s="41"/>
    </row>
    <row r="533" spans="2:20" ht="15.6" x14ac:dyDescent="0.3">
      <c r="B533" s="33">
        <f>+B532+1</f>
        <v>2</v>
      </c>
      <c r="C533" s="33" t="s">
        <v>774</v>
      </c>
      <c r="D533" s="34" t="s">
        <v>775</v>
      </c>
      <c r="E533" s="35">
        <v>45747</v>
      </c>
      <c r="F533" s="36">
        <v>1240.8793499999999</v>
      </c>
      <c r="G533" s="37">
        <v>10</v>
      </c>
      <c r="H533" s="38">
        <f t="shared" si="77"/>
        <v>124.08793499999999</v>
      </c>
      <c r="I533" s="36">
        <v>36362.538</v>
      </c>
      <c r="J533" s="36">
        <v>87341.629000000001</v>
      </c>
      <c r="K533" s="36">
        <v>203894.43799999999</v>
      </c>
      <c r="L533" s="36">
        <v>125.485</v>
      </c>
      <c r="M533" s="36">
        <v>24048.233</v>
      </c>
      <c r="N533" s="38">
        <f t="shared" si="78"/>
        <v>8796.6180000000004</v>
      </c>
      <c r="O533" s="36">
        <v>15251.615</v>
      </c>
      <c r="P533" s="39">
        <f>320+420</f>
        <v>740</v>
      </c>
      <c r="Q533" s="39">
        <v>0</v>
      </c>
      <c r="R533" s="40">
        <f t="shared" si="79"/>
        <v>740</v>
      </c>
      <c r="S533" s="39"/>
      <c r="T533" s="41">
        <v>3415</v>
      </c>
    </row>
    <row r="534" spans="2:20" ht="15.6" x14ac:dyDescent="0.3">
      <c r="B534" s="33">
        <f>+B533+1</f>
        <v>3</v>
      </c>
      <c r="C534" s="33" t="s">
        <v>776</v>
      </c>
      <c r="D534" s="34" t="s">
        <v>777</v>
      </c>
      <c r="E534" s="35">
        <v>45838</v>
      </c>
      <c r="F534" s="36">
        <v>426.08843999999999</v>
      </c>
      <c r="G534" s="37">
        <v>10</v>
      </c>
      <c r="H534" s="38">
        <f t="shared" si="77"/>
        <v>42.608843999999998</v>
      </c>
      <c r="I534" s="36">
        <v>13551.898999999999</v>
      </c>
      <c r="J534" s="36">
        <v>29275.27</v>
      </c>
      <c r="K534" s="36">
        <v>37462.866000000002</v>
      </c>
      <c r="L534" s="36">
        <v>89.8</v>
      </c>
      <c r="M534" s="36">
        <v>6453.1809999999996</v>
      </c>
      <c r="N534" s="38">
        <f t="shared" si="78"/>
        <v>1869.5259999999998</v>
      </c>
      <c r="O534" s="36">
        <v>4583.6549999999997</v>
      </c>
      <c r="P534" s="39">
        <v>100</v>
      </c>
      <c r="Q534" s="39">
        <v>0</v>
      </c>
      <c r="R534" s="40">
        <f t="shared" si="79"/>
        <v>100</v>
      </c>
      <c r="S534" s="39"/>
      <c r="T534" s="41">
        <v>8303</v>
      </c>
    </row>
    <row r="535" spans="2:20" ht="15.6" x14ac:dyDescent="0.3">
      <c r="B535" s="33">
        <f t="shared" ref="B535:B540" si="80">+B534+1</f>
        <v>4</v>
      </c>
      <c r="C535" s="33" t="s">
        <v>778</v>
      </c>
      <c r="D535" s="34" t="s">
        <v>779</v>
      </c>
      <c r="E535" s="35">
        <v>45838</v>
      </c>
      <c r="F535" s="36">
        <v>570.02499999999998</v>
      </c>
      <c r="G535" s="37">
        <v>10</v>
      </c>
      <c r="H535" s="38">
        <f t="shared" si="77"/>
        <v>57.002499999999998</v>
      </c>
      <c r="I535" s="36">
        <v>10489.08</v>
      </c>
      <c r="J535" s="36">
        <v>26063.488000000001</v>
      </c>
      <c r="K535" s="36">
        <v>23171.96</v>
      </c>
      <c r="L535" s="36">
        <v>142.61099999999999</v>
      </c>
      <c r="M535" s="36">
        <v>3340.1619999999998</v>
      </c>
      <c r="N535" s="38">
        <f t="shared" si="78"/>
        <v>950.59199999999964</v>
      </c>
      <c r="O535" s="36">
        <v>2389.5700000000002</v>
      </c>
      <c r="P535" s="39">
        <v>100</v>
      </c>
      <c r="Q535" s="39">
        <v>0</v>
      </c>
      <c r="R535" s="40">
        <f t="shared" si="79"/>
        <v>100</v>
      </c>
      <c r="S535" s="39"/>
      <c r="T535" s="41">
        <v>9445</v>
      </c>
    </row>
    <row r="536" spans="2:20" ht="15.6" x14ac:dyDescent="0.3">
      <c r="B536" s="33">
        <f t="shared" si="80"/>
        <v>5</v>
      </c>
      <c r="C536" s="33" t="s">
        <v>780</v>
      </c>
      <c r="D536" s="34" t="s">
        <v>781</v>
      </c>
      <c r="E536" s="35">
        <v>45747</v>
      </c>
      <c r="F536" s="36">
        <v>1428</v>
      </c>
      <c r="G536" s="37">
        <v>10</v>
      </c>
      <c r="H536" s="38">
        <f t="shared" si="77"/>
        <v>142.80000000000001</v>
      </c>
      <c r="I536" s="36">
        <v>23439.136999999999</v>
      </c>
      <c r="J536" s="36">
        <v>49120.65</v>
      </c>
      <c r="K536" s="36">
        <v>78065.659</v>
      </c>
      <c r="L536" s="36">
        <v>1041.8130000000001</v>
      </c>
      <c r="M536" s="36">
        <v>3274.7730000000001</v>
      </c>
      <c r="N536" s="38">
        <f t="shared" si="78"/>
        <v>565.63200000000006</v>
      </c>
      <c r="O536" s="36">
        <v>2709.1410000000001</v>
      </c>
      <c r="P536" s="39">
        <v>80</v>
      </c>
      <c r="Q536" s="39">
        <v>0</v>
      </c>
      <c r="R536" s="40">
        <f t="shared" si="79"/>
        <v>80</v>
      </c>
      <c r="S536" s="39"/>
      <c r="T536" s="41">
        <v>12714</v>
      </c>
    </row>
    <row r="537" spans="2:20" ht="15.6" x14ac:dyDescent="0.3">
      <c r="B537" s="33">
        <f t="shared" si="80"/>
        <v>6</v>
      </c>
      <c r="C537" s="33" t="s">
        <v>782</v>
      </c>
      <c r="D537" s="34" t="s">
        <v>783</v>
      </c>
      <c r="E537" s="35">
        <v>45747</v>
      </c>
      <c r="F537" s="36">
        <v>248.0112</v>
      </c>
      <c r="G537" s="37">
        <v>10</v>
      </c>
      <c r="H537" s="38">
        <f t="shared" si="77"/>
        <v>24.801120000000001</v>
      </c>
      <c r="I537" s="36">
        <v>5453.3429999999998</v>
      </c>
      <c r="J537" s="36">
        <v>10569.093000000001</v>
      </c>
      <c r="K537" s="36">
        <v>10336.503000000001</v>
      </c>
      <c r="L537" s="36">
        <v>281.92899999999997</v>
      </c>
      <c r="M537" s="36">
        <v>184.40799999999999</v>
      </c>
      <c r="N537" s="38">
        <f t="shared" si="78"/>
        <v>22.450999999999993</v>
      </c>
      <c r="O537" s="36">
        <v>161.95699999999999</v>
      </c>
      <c r="P537" s="39">
        <v>0</v>
      </c>
      <c r="Q537" s="39">
        <v>0</v>
      </c>
      <c r="R537" s="40">
        <f t="shared" si="79"/>
        <v>0</v>
      </c>
      <c r="S537" s="39"/>
      <c r="T537" s="41">
        <v>2194</v>
      </c>
    </row>
    <row r="538" spans="2:20" ht="15.6" x14ac:dyDescent="0.3">
      <c r="B538" s="33">
        <f t="shared" si="80"/>
        <v>7</v>
      </c>
      <c r="C538" s="33" t="s">
        <v>784</v>
      </c>
      <c r="D538" s="34" t="s">
        <v>785</v>
      </c>
      <c r="E538" s="35">
        <v>45838</v>
      </c>
      <c r="F538" s="36">
        <v>786</v>
      </c>
      <c r="G538" s="37">
        <v>10</v>
      </c>
      <c r="H538" s="38">
        <f t="shared" si="77"/>
        <v>78.599999999999994</v>
      </c>
      <c r="I538" s="36">
        <v>76952.638000000006</v>
      </c>
      <c r="J538" s="36">
        <v>184774.378</v>
      </c>
      <c r="K538" s="36">
        <v>215136.58199999999</v>
      </c>
      <c r="L538" s="36">
        <v>263.733</v>
      </c>
      <c r="M538" s="36">
        <v>37489.341999999997</v>
      </c>
      <c r="N538" s="38">
        <f t="shared" si="78"/>
        <v>14479.682999999997</v>
      </c>
      <c r="O538" s="36">
        <v>23009.659</v>
      </c>
      <c r="P538" s="39">
        <f>390+370+500+500</f>
        <v>1760</v>
      </c>
      <c r="Q538" s="39">
        <v>0</v>
      </c>
      <c r="R538" s="40">
        <f>SUM(P538:Q538)</f>
        <v>1760</v>
      </c>
      <c r="S538" s="39"/>
      <c r="T538" s="41">
        <v>5208</v>
      </c>
    </row>
    <row r="539" spans="2:20" ht="15.6" x14ac:dyDescent="0.3">
      <c r="B539" s="33">
        <f t="shared" si="80"/>
        <v>8</v>
      </c>
      <c r="C539" s="33" t="s">
        <v>786</v>
      </c>
      <c r="D539" s="34" t="s">
        <v>787</v>
      </c>
      <c r="E539" s="35">
        <v>45838</v>
      </c>
      <c r="F539" s="36">
        <v>1995.16</v>
      </c>
      <c r="G539" s="37">
        <v>10</v>
      </c>
      <c r="H539" s="38">
        <f t="shared" si="77"/>
        <v>199.51600000000002</v>
      </c>
      <c r="I539" s="36">
        <v>8076.3</v>
      </c>
      <c r="J539" s="36">
        <v>32988.589999999997</v>
      </c>
      <c r="K539" s="36">
        <v>52108.997000000003</v>
      </c>
      <c r="L539" s="36">
        <v>2172.6439999999998</v>
      </c>
      <c r="M539" s="36">
        <v>8039.66</v>
      </c>
      <c r="N539" s="38">
        <f t="shared" si="78"/>
        <v>1666.732</v>
      </c>
      <c r="O539" s="36">
        <v>6372.9279999999999</v>
      </c>
      <c r="P539" s="39">
        <f>450+150</f>
        <v>600</v>
      </c>
      <c r="Q539" s="39">
        <v>0</v>
      </c>
      <c r="R539" s="40">
        <f>SUM(P539:Q539)</f>
        <v>600</v>
      </c>
      <c r="S539" s="39"/>
      <c r="T539" s="41">
        <v>15461</v>
      </c>
    </row>
    <row r="540" spans="2:20" ht="15.6" x14ac:dyDescent="0.3">
      <c r="B540" s="33">
        <f t="shared" si="80"/>
        <v>9</v>
      </c>
      <c r="C540" s="33" t="s">
        <v>788</v>
      </c>
      <c r="D540" s="34" t="s">
        <v>789</v>
      </c>
      <c r="E540" s="35">
        <v>45838</v>
      </c>
      <c r="F540" s="36">
        <v>604.45964000000004</v>
      </c>
      <c r="G540" s="37">
        <v>10</v>
      </c>
      <c r="H540" s="38">
        <f t="shared" si="77"/>
        <v>60.445964000000004</v>
      </c>
      <c r="I540" s="36">
        <v>23707.697459999999</v>
      </c>
      <c r="J540" s="36">
        <v>41736.856677999996</v>
      </c>
      <c r="K540" s="36">
        <v>108694.499692</v>
      </c>
      <c r="L540" s="36">
        <v>230.296277</v>
      </c>
      <c r="M540" s="36">
        <v>26737.884062000001</v>
      </c>
      <c r="N540" s="38">
        <f t="shared" si="78"/>
        <v>10401.682720000001</v>
      </c>
      <c r="O540" s="36">
        <v>16336.201342</v>
      </c>
      <c r="P540" s="39">
        <f>100+100+120+200</f>
        <v>520</v>
      </c>
      <c r="Q540" s="39">
        <v>0</v>
      </c>
      <c r="R540" s="40">
        <f t="shared" si="79"/>
        <v>520</v>
      </c>
      <c r="S540" s="39"/>
      <c r="T540" s="41">
        <v>9672</v>
      </c>
    </row>
    <row r="541" spans="2:20" ht="15.6" x14ac:dyDescent="0.3">
      <c r="B541" s="71"/>
      <c r="C541" s="71"/>
      <c r="D541" s="28"/>
      <c r="E541" s="89"/>
      <c r="F541" s="66"/>
      <c r="G541" s="43"/>
      <c r="H541" s="67"/>
      <c r="I541" s="66"/>
      <c r="J541" s="66"/>
      <c r="K541" s="66"/>
      <c r="L541" s="66"/>
      <c r="M541" s="66"/>
      <c r="N541" s="67"/>
      <c r="O541" s="66"/>
      <c r="P541" s="68"/>
      <c r="Q541" s="68"/>
      <c r="R541" s="69"/>
      <c r="S541" s="68"/>
      <c r="T541" s="70"/>
    </row>
    <row r="542" spans="2:20" ht="18" x14ac:dyDescent="0.35">
      <c r="B542" s="28"/>
      <c r="C542" s="28"/>
      <c r="D542" s="56" t="s">
        <v>30</v>
      </c>
      <c r="E542" s="28"/>
      <c r="F542" s="28"/>
      <c r="G542" s="43"/>
      <c r="H542" s="44"/>
      <c r="I542" s="30"/>
      <c r="J542" s="30"/>
      <c r="K542" s="30"/>
      <c r="L542" s="30"/>
      <c r="M542" s="30"/>
      <c r="N542" s="45"/>
      <c r="O542" s="30"/>
      <c r="P542" s="30"/>
      <c r="Q542" s="30"/>
      <c r="R542" s="45"/>
      <c r="S542" s="30"/>
      <c r="T542" s="30"/>
    </row>
    <row r="543" spans="2:20" ht="15.6" x14ac:dyDescent="0.3">
      <c r="B543" s="33">
        <v>1</v>
      </c>
      <c r="C543" s="33" t="s">
        <v>790</v>
      </c>
      <c r="D543" s="34" t="s">
        <v>791</v>
      </c>
      <c r="E543" s="35">
        <v>45838</v>
      </c>
      <c r="F543" s="36"/>
      <c r="G543" s="37">
        <v>10</v>
      </c>
      <c r="H543" s="38">
        <f>+F543/G543</f>
        <v>0</v>
      </c>
      <c r="I543" s="36"/>
      <c r="J543" s="36"/>
      <c r="K543" s="36"/>
      <c r="L543" s="36"/>
      <c r="M543" s="36"/>
      <c r="N543" s="38">
        <f>+M543-O543</f>
        <v>0</v>
      </c>
      <c r="O543" s="36"/>
      <c r="P543" s="39"/>
      <c r="Q543" s="39"/>
      <c r="R543" s="40">
        <f>SUM(P543:Q543)</f>
        <v>0</v>
      </c>
      <c r="S543" s="39"/>
      <c r="T543" s="41"/>
    </row>
    <row r="544" spans="2:20" ht="15.6" x14ac:dyDescent="0.3">
      <c r="B544" s="63"/>
      <c r="C544" s="63"/>
      <c r="D544" s="64"/>
      <c r="E544" s="65"/>
      <c r="F544" s="66"/>
      <c r="G544" s="43"/>
      <c r="H544" s="67"/>
      <c r="I544" s="66"/>
      <c r="J544" s="66"/>
      <c r="K544" s="66"/>
      <c r="L544" s="66"/>
      <c r="M544" s="66"/>
      <c r="N544" s="67"/>
      <c r="O544" s="66"/>
      <c r="P544" s="68"/>
      <c r="Q544" s="68"/>
      <c r="R544" s="69"/>
      <c r="S544" s="68"/>
      <c r="T544" s="70"/>
    </row>
    <row r="545" spans="2:20" ht="15.6" x14ac:dyDescent="0.3">
      <c r="B545" s="47">
        <f>COUNT(B532:B544)</f>
        <v>10</v>
      </c>
      <c r="C545" s="47"/>
      <c r="D545" s="48"/>
      <c r="E545" s="48"/>
      <c r="F545" s="48">
        <f>SUM(F532:F544)</f>
        <v>7298.6236299999991</v>
      </c>
      <c r="G545" s="49"/>
      <c r="H545" s="50">
        <f>SUM(H532:H544)</f>
        <v>729.86236299999996</v>
      </c>
      <c r="I545" s="48">
        <f>SUM(I532:I544)</f>
        <v>198032.63245999999</v>
      </c>
      <c r="J545" s="48">
        <f>SUM(J532:J544)</f>
        <v>461869.95467800001</v>
      </c>
      <c r="K545" s="48">
        <f>SUM(K532:K544)</f>
        <v>728871.50469199999</v>
      </c>
      <c r="L545" s="48">
        <f>SUM(L532:L544)</f>
        <v>4348.3112769999998</v>
      </c>
      <c r="M545" s="48">
        <f>SUM(M532:M544)</f>
        <v>109567.643062</v>
      </c>
      <c r="N545" s="51">
        <f>SUM(N532:N544)</f>
        <v>38752.916719999994</v>
      </c>
      <c r="O545" s="48">
        <f>SUM(O532:O544)</f>
        <v>70814.726341999994</v>
      </c>
      <c r="P545" s="52"/>
      <c r="Q545" s="52"/>
      <c r="R545" s="53"/>
      <c r="S545" s="52"/>
      <c r="T545" s="54">
        <f>SUM(T532:T544)</f>
        <v>66412</v>
      </c>
    </row>
    <row r="546" spans="2:20" ht="15.6" x14ac:dyDescent="0.3">
      <c r="B546" s="28"/>
      <c r="C546" s="28"/>
      <c r="D546" s="28"/>
      <c r="E546" s="28"/>
      <c r="F546" s="28"/>
      <c r="G546" s="43"/>
      <c r="H546" s="44"/>
      <c r="I546" s="30"/>
      <c r="J546" s="30"/>
      <c r="K546" s="30"/>
      <c r="L546" s="30"/>
      <c r="M546" s="30"/>
      <c r="N546" s="45"/>
      <c r="O546" s="30"/>
      <c r="P546" s="30"/>
      <c r="Q546" s="30"/>
      <c r="R546" s="45"/>
      <c r="S546" s="30"/>
      <c r="T546" s="30"/>
    </row>
    <row r="547" spans="2:20" ht="15.6" x14ac:dyDescent="0.3">
      <c r="B547" s="28"/>
      <c r="C547" s="28"/>
      <c r="D547" s="28"/>
      <c r="E547" s="28"/>
      <c r="F547" s="28"/>
      <c r="G547" s="43"/>
      <c r="H547" s="44"/>
      <c r="I547" s="30"/>
      <c r="J547" s="30"/>
      <c r="K547" s="30"/>
      <c r="L547" s="30"/>
      <c r="M547" s="30"/>
      <c r="N547" s="45"/>
      <c r="O547" s="30"/>
      <c r="P547" s="30"/>
      <c r="Q547" s="30"/>
      <c r="R547" s="45"/>
      <c r="S547" s="30"/>
      <c r="T547" s="30"/>
    </row>
    <row r="548" spans="2:20" ht="18" x14ac:dyDescent="0.35">
      <c r="B548" s="28"/>
      <c r="C548" s="32">
        <v>24</v>
      </c>
      <c r="D548" s="32" t="s">
        <v>792</v>
      </c>
      <c r="E548" s="61"/>
      <c r="F548" s="61"/>
      <c r="G548" s="43"/>
      <c r="H548" s="44"/>
      <c r="I548" s="30"/>
      <c r="J548" s="30"/>
      <c r="K548" s="30"/>
      <c r="L548" s="30"/>
      <c r="M548" s="30"/>
      <c r="N548" s="45"/>
      <c r="O548" s="30"/>
      <c r="P548" s="30"/>
      <c r="Q548" s="30"/>
      <c r="R548" s="45"/>
      <c r="S548" s="30"/>
      <c r="T548" s="30"/>
    </row>
    <row r="549" spans="2:20" ht="15.6" x14ac:dyDescent="0.3">
      <c r="B549" s="28"/>
      <c r="C549" s="28"/>
      <c r="D549" s="28"/>
      <c r="E549" s="28"/>
      <c r="F549" s="28"/>
      <c r="G549" s="43"/>
      <c r="H549" s="44"/>
      <c r="I549" s="30"/>
      <c r="J549" s="30"/>
      <c r="K549" s="30"/>
      <c r="L549" s="30"/>
      <c r="M549" s="30"/>
      <c r="N549" s="45"/>
      <c r="O549" s="30"/>
      <c r="P549" s="30"/>
      <c r="Q549" s="30"/>
      <c r="R549" s="45"/>
      <c r="S549" s="30"/>
      <c r="T549" s="30"/>
    </row>
    <row r="550" spans="2:20" ht="15.6" x14ac:dyDescent="0.3">
      <c r="B550" s="33">
        <v>1</v>
      </c>
      <c r="C550" s="33" t="s">
        <v>793</v>
      </c>
      <c r="D550" s="34" t="s">
        <v>794</v>
      </c>
      <c r="E550" s="35">
        <v>45838</v>
      </c>
      <c r="F550" s="36">
        <v>180</v>
      </c>
      <c r="G550" s="37">
        <v>5</v>
      </c>
      <c r="H550" s="38">
        <f t="shared" ref="H550:H558" si="81">+F550/G550</f>
        <v>36</v>
      </c>
      <c r="I550" s="36">
        <v>4300.1809999999996</v>
      </c>
      <c r="J550" s="36">
        <v>7096.134</v>
      </c>
      <c r="K550" s="36">
        <v>7762.17</v>
      </c>
      <c r="L550" s="36">
        <v>153.815</v>
      </c>
      <c r="M550" s="36">
        <v>0.95499999999999996</v>
      </c>
      <c r="N550" s="38">
        <f t="shared" ref="N550:N558" si="82">+M550-O550</f>
        <v>-98.02</v>
      </c>
      <c r="O550" s="36">
        <v>98.974999999999994</v>
      </c>
      <c r="P550" s="39">
        <v>35</v>
      </c>
      <c r="Q550" s="39">
        <v>0</v>
      </c>
      <c r="R550" s="40">
        <f t="shared" ref="R550:R558" si="83">SUM(P550:Q550)</f>
        <v>35</v>
      </c>
      <c r="S550" s="39"/>
      <c r="T550" s="41">
        <v>3668</v>
      </c>
    </row>
    <row r="551" spans="2:20" ht="15.6" x14ac:dyDescent="0.3">
      <c r="B551" s="33">
        <f t="shared" ref="B551:B558" si="84">+B550+1</f>
        <v>2</v>
      </c>
      <c r="C551" s="33" t="s">
        <v>795</v>
      </c>
      <c r="D551" s="34" t="s">
        <v>796</v>
      </c>
      <c r="E551" s="35">
        <v>45838</v>
      </c>
      <c r="F551" s="36">
        <v>350.17034000000001</v>
      </c>
      <c r="G551" s="37">
        <v>10</v>
      </c>
      <c r="H551" s="38">
        <f t="shared" si="81"/>
        <v>35.017034000000002</v>
      </c>
      <c r="I551" s="36">
        <v>7901.32</v>
      </c>
      <c r="J551" s="36">
        <v>18908.846000000001</v>
      </c>
      <c r="K551" s="36">
        <v>35201.281000000003</v>
      </c>
      <c r="L551" s="36">
        <v>1188.3109999999999</v>
      </c>
      <c r="M551" s="36">
        <v>345.91800000000001</v>
      </c>
      <c r="N551" s="38">
        <f t="shared" si="82"/>
        <v>254.71300000000002</v>
      </c>
      <c r="O551" s="36">
        <v>91.204999999999998</v>
      </c>
      <c r="P551" s="39">
        <v>0</v>
      </c>
      <c r="Q551" s="39">
        <v>0</v>
      </c>
      <c r="R551" s="40">
        <f t="shared" si="83"/>
        <v>0</v>
      </c>
      <c r="S551" s="39"/>
      <c r="T551" s="41">
        <v>3944</v>
      </c>
    </row>
    <row r="552" spans="2:20" ht="15.6" x14ac:dyDescent="0.3">
      <c r="B552" s="33">
        <f t="shared" si="84"/>
        <v>3</v>
      </c>
      <c r="C552" s="33" t="s">
        <v>797</v>
      </c>
      <c r="D552" s="34" t="s">
        <v>798</v>
      </c>
      <c r="E552" s="35">
        <v>45838</v>
      </c>
      <c r="F552" s="36">
        <v>133.3425</v>
      </c>
      <c r="G552" s="37">
        <v>10</v>
      </c>
      <c r="H552" s="38">
        <f t="shared" si="81"/>
        <v>13.334250000000001</v>
      </c>
      <c r="I552" s="36">
        <v>2312.4229999999998</v>
      </c>
      <c r="J552" s="36">
        <v>2663.2170000000001</v>
      </c>
      <c r="K552" s="36">
        <v>2305.239</v>
      </c>
      <c r="L552" s="36">
        <v>2.5790000000000002</v>
      </c>
      <c r="M552" s="36">
        <v>456.39100000000002</v>
      </c>
      <c r="N552" s="38">
        <f t="shared" si="82"/>
        <v>140.80900000000003</v>
      </c>
      <c r="O552" s="36">
        <v>315.58199999999999</v>
      </c>
      <c r="P552" s="39">
        <f>60+70</f>
        <v>130</v>
      </c>
      <c r="Q552" s="39">
        <v>0</v>
      </c>
      <c r="R552" s="40">
        <f t="shared" si="83"/>
        <v>130</v>
      </c>
      <c r="S552" s="39"/>
      <c r="T552" s="41">
        <v>1778</v>
      </c>
    </row>
    <row r="553" spans="2:20" ht="15.6" x14ac:dyDescent="0.3">
      <c r="B553" s="33">
        <f t="shared" si="84"/>
        <v>4</v>
      </c>
      <c r="C553" s="33" t="s">
        <v>799</v>
      </c>
      <c r="D553" s="34" t="s">
        <v>800</v>
      </c>
      <c r="E553" s="35">
        <v>45747</v>
      </c>
      <c r="F553" s="36">
        <v>77.686179999999993</v>
      </c>
      <c r="G553" s="37">
        <v>10</v>
      </c>
      <c r="H553" s="38">
        <f t="shared" si="81"/>
        <v>7.7686179999999991</v>
      </c>
      <c r="I553" s="36">
        <v>6823.2359999999999</v>
      </c>
      <c r="J553" s="36">
        <v>16293.489</v>
      </c>
      <c r="K553" s="36">
        <v>23895.008000000002</v>
      </c>
      <c r="L553" s="36">
        <v>731.06500000000005</v>
      </c>
      <c r="M553" s="36">
        <v>1041.26</v>
      </c>
      <c r="N553" s="38">
        <f t="shared" si="82"/>
        <v>426.82399999999996</v>
      </c>
      <c r="O553" s="36">
        <v>614.43600000000004</v>
      </c>
      <c r="P553" s="39">
        <f>100</f>
        <v>100</v>
      </c>
      <c r="Q553" s="39">
        <v>0</v>
      </c>
      <c r="R553" s="40">
        <f t="shared" si="83"/>
        <v>100</v>
      </c>
      <c r="S553" s="39"/>
      <c r="T553" s="41">
        <v>2825</v>
      </c>
    </row>
    <row r="554" spans="2:20" ht="15.6" x14ac:dyDescent="0.3">
      <c r="B554" s="33">
        <f t="shared" si="84"/>
        <v>5</v>
      </c>
      <c r="C554" s="33" t="s">
        <v>801</v>
      </c>
      <c r="D554" s="34" t="s">
        <v>802</v>
      </c>
      <c r="E554" s="35">
        <v>45838</v>
      </c>
      <c r="F554" s="36">
        <v>1219.3335</v>
      </c>
      <c r="G554" s="37">
        <v>10</v>
      </c>
      <c r="H554" s="38">
        <f t="shared" si="81"/>
        <v>121.93334999999999</v>
      </c>
      <c r="I554" s="36">
        <v>6737.7309999999998</v>
      </c>
      <c r="J554" s="36">
        <v>21426.076000000001</v>
      </c>
      <c r="K554" s="36">
        <v>17799.71</v>
      </c>
      <c r="L554" s="36">
        <v>1351.008</v>
      </c>
      <c r="M554" s="36">
        <v>-345.97699999999998</v>
      </c>
      <c r="N554" s="38">
        <f t="shared" si="82"/>
        <v>20.100000000000023</v>
      </c>
      <c r="O554" s="36">
        <v>-366.077</v>
      </c>
      <c r="P554" s="39">
        <v>0</v>
      </c>
      <c r="Q554" s="39">
        <v>0</v>
      </c>
      <c r="R554" s="40">
        <f t="shared" si="83"/>
        <v>0</v>
      </c>
      <c r="S554" s="39"/>
      <c r="T554" s="41">
        <v>5466</v>
      </c>
    </row>
    <row r="555" spans="2:20" ht="15.6" x14ac:dyDescent="0.3">
      <c r="B555" s="33">
        <f t="shared" si="84"/>
        <v>6</v>
      </c>
      <c r="C555" s="33" t="s">
        <v>803</v>
      </c>
      <c r="D555" s="34" t="s">
        <v>804</v>
      </c>
      <c r="E555" s="35">
        <v>45838</v>
      </c>
      <c r="F555" s="36">
        <v>2512.5</v>
      </c>
      <c r="G555" s="37">
        <v>10</v>
      </c>
      <c r="H555" s="38">
        <f>+F555/G555</f>
        <v>251.25</v>
      </c>
      <c r="I555" s="36">
        <v>4317.3072110000003</v>
      </c>
      <c r="J555" s="36">
        <v>7569.544003</v>
      </c>
      <c r="K555" s="36">
        <v>6032.903276</v>
      </c>
      <c r="L555" s="36">
        <v>393.34394700000001</v>
      </c>
      <c r="M555" s="36">
        <v>796.96814900000004</v>
      </c>
      <c r="N555" s="38">
        <f>+M555-O555</f>
        <v>301.74663600000002</v>
      </c>
      <c r="O555" s="36">
        <v>495.22151300000002</v>
      </c>
      <c r="P555" s="39">
        <v>0</v>
      </c>
      <c r="Q555" s="39">
        <v>0</v>
      </c>
      <c r="R555" s="40">
        <f>SUM(P555:Q555)</f>
        <v>0</v>
      </c>
      <c r="S555" s="39"/>
      <c r="T555" s="41">
        <v>8273</v>
      </c>
    </row>
    <row r="556" spans="2:20" ht="15.6" x14ac:dyDescent="0.3">
      <c r="B556" s="33">
        <f t="shared" si="84"/>
        <v>7</v>
      </c>
      <c r="C556" s="33" t="s">
        <v>805</v>
      </c>
      <c r="D556" s="34" t="s">
        <v>806</v>
      </c>
      <c r="E556" s="35">
        <v>45838</v>
      </c>
      <c r="F556" s="36">
        <v>1680</v>
      </c>
      <c r="G556" s="37">
        <v>10</v>
      </c>
      <c r="H556" s="38">
        <f>+F556/G556</f>
        <v>168</v>
      </c>
      <c r="I556" s="36">
        <v>8802.2924239999993</v>
      </c>
      <c r="J556" s="36">
        <v>24887.139997999999</v>
      </c>
      <c r="K556" s="36">
        <v>32566.879905000002</v>
      </c>
      <c r="L556" s="36">
        <v>1459.0833540000001</v>
      </c>
      <c r="M556" s="36">
        <v>721.75192800000002</v>
      </c>
      <c r="N556" s="38">
        <f>+M556-O556</f>
        <v>290.119687</v>
      </c>
      <c r="O556" s="36">
        <v>431.63224100000002</v>
      </c>
      <c r="P556" s="39">
        <v>20</v>
      </c>
      <c r="Q556" s="39">
        <v>0</v>
      </c>
      <c r="R556" s="40">
        <f>SUM(P556:Q556)</f>
        <v>20</v>
      </c>
      <c r="S556" s="39"/>
      <c r="T556" s="41">
        <v>2978</v>
      </c>
    </row>
    <row r="557" spans="2:20" ht="15.6" x14ac:dyDescent="0.3">
      <c r="B557" s="33">
        <f t="shared" si="84"/>
        <v>8</v>
      </c>
      <c r="C557" s="33" t="s">
        <v>807</v>
      </c>
      <c r="D557" s="34" t="s">
        <v>808</v>
      </c>
      <c r="E557" s="35">
        <v>45838</v>
      </c>
      <c r="F557" s="36">
        <v>10825.93173</v>
      </c>
      <c r="G557" s="37">
        <v>10</v>
      </c>
      <c r="H557" s="38">
        <f>+F557/G557</f>
        <v>1082.593173</v>
      </c>
      <c r="I557" s="36">
        <v>2173.7669999999998</v>
      </c>
      <c r="J557" s="36">
        <v>9524.1990000000005</v>
      </c>
      <c r="K557" s="36">
        <v>8843.7909999999993</v>
      </c>
      <c r="L557" s="36">
        <v>920.59</v>
      </c>
      <c r="M557" s="36">
        <v>39.546999999999997</v>
      </c>
      <c r="N557" s="38">
        <f>+M557-O557</f>
        <v>-0.87900000000000489</v>
      </c>
      <c r="O557" s="36">
        <v>40.426000000000002</v>
      </c>
      <c r="P557" s="39">
        <v>0</v>
      </c>
      <c r="Q557" s="39">
        <v>0</v>
      </c>
      <c r="R557" s="40">
        <f>SUM(P557:Q557)</f>
        <v>0</v>
      </c>
      <c r="S557" s="39"/>
      <c r="T557" s="41">
        <v>5962</v>
      </c>
    </row>
    <row r="558" spans="2:20" ht="15.6" x14ac:dyDescent="0.3">
      <c r="B558" s="33">
        <f t="shared" si="84"/>
        <v>9</v>
      </c>
      <c r="C558" s="33" t="s">
        <v>809</v>
      </c>
      <c r="D558" s="34" t="s">
        <v>810</v>
      </c>
      <c r="E558" s="35">
        <v>45838</v>
      </c>
      <c r="F558" s="36">
        <v>405.149585</v>
      </c>
      <c r="G558" s="37">
        <v>5</v>
      </c>
      <c r="H558" s="38">
        <f t="shared" si="81"/>
        <v>81.029916999999998</v>
      </c>
      <c r="I558" s="36">
        <v>33086.752</v>
      </c>
      <c r="J558" s="36">
        <v>45350.252999999997</v>
      </c>
      <c r="K558" s="36">
        <v>29611.916000000001</v>
      </c>
      <c r="L558" s="36">
        <v>599.29399999999998</v>
      </c>
      <c r="M558" s="36">
        <v>3475.9690000000001</v>
      </c>
      <c r="N558" s="38">
        <f t="shared" si="82"/>
        <v>918.24400000000014</v>
      </c>
      <c r="O558" s="36">
        <v>2557.7249999999999</v>
      </c>
      <c r="P558" s="39">
        <f>80+120</f>
        <v>200</v>
      </c>
      <c r="Q558" s="39">
        <v>0</v>
      </c>
      <c r="R558" s="40">
        <f t="shared" si="83"/>
        <v>200</v>
      </c>
      <c r="S558" s="39"/>
      <c r="T558" s="41">
        <v>4451</v>
      </c>
    </row>
    <row r="559" spans="2:20" ht="15.6" x14ac:dyDescent="0.3">
      <c r="B559" s="28"/>
      <c r="C559" s="28"/>
      <c r="D559" s="28"/>
      <c r="E559" s="28"/>
      <c r="F559" s="28"/>
      <c r="G559" s="43"/>
      <c r="H559" s="44"/>
      <c r="I559" s="30"/>
      <c r="J559" s="30"/>
      <c r="K559" s="30"/>
      <c r="L559" s="30"/>
      <c r="M559" s="30"/>
      <c r="N559" s="45"/>
      <c r="O559" s="30"/>
      <c r="P559" s="30"/>
      <c r="Q559" s="30"/>
      <c r="R559" s="45"/>
      <c r="S559" s="30"/>
      <c r="T559" s="30"/>
    </row>
    <row r="560" spans="2:20" ht="18" x14ac:dyDescent="0.35">
      <c r="B560" s="28"/>
      <c r="C560" s="28"/>
      <c r="D560" s="56" t="s">
        <v>30</v>
      </c>
      <c r="E560" s="28"/>
      <c r="F560" s="28"/>
      <c r="G560" s="43"/>
      <c r="H560" s="44"/>
      <c r="I560" s="30"/>
      <c r="J560" s="30"/>
      <c r="K560" s="30"/>
      <c r="L560" s="30"/>
      <c r="M560" s="30"/>
      <c r="N560" s="45"/>
      <c r="O560" s="30"/>
      <c r="P560" s="30"/>
      <c r="Q560" s="30"/>
      <c r="R560" s="45"/>
      <c r="S560" s="30"/>
      <c r="T560" s="30"/>
    </row>
    <row r="561" spans="2:20" ht="15.6" x14ac:dyDescent="0.3">
      <c r="B561" s="33">
        <v>1</v>
      </c>
      <c r="C561" s="33" t="s">
        <v>811</v>
      </c>
      <c r="D561" s="34" t="s">
        <v>812</v>
      </c>
      <c r="E561" s="35">
        <v>45838</v>
      </c>
      <c r="F561" s="36">
        <v>58</v>
      </c>
      <c r="G561" s="37">
        <v>10</v>
      </c>
      <c r="H561" s="38">
        <f>+F561/G561</f>
        <v>5.8</v>
      </c>
      <c r="I561" s="36">
        <v>72.461224000000001</v>
      </c>
      <c r="J561" s="36">
        <v>230.51031699999999</v>
      </c>
      <c r="K561" s="36">
        <v>0</v>
      </c>
      <c r="L561" s="36">
        <v>8.0001909999999992</v>
      </c>
      <c r="M561" s="36">
        <v>-24.514638999999999</v>
      </c>
      <c r="N561" s="38">
        <f>+M561-O561</f>
        <v>0</v>
      </c>
      <c r="O561" s="36">
        <v>-24.514638999999999</v>
      </c>
      <c r="P561" s="39">
        <v>0</v>
      </c>
      <c r="Q561" s="39">
        <v>0</v>
      </c>
      <c r="R561" s="40">
        <f>SUM(P561:Q561)</f>
        <v>0</v>
      </c>
      <c r="S561" s="39"/>
      <c r="T561" s="41">
        <v>3784</v>
      </c>
    </row>
    <row r="562" spans="2:20" ht="15.6" x14ac:dyDescent="0.3">
      <c r="B562" s="33">
        <f>+B561+1</f>
        <v>2</v>
      </c>
      <c r="C562" s="33" t="s">
        <v>813</v>
      </c>
      <c r="D562" s="34" t="s">
        <v>814</v>
      </c>
      <c r="E562" s="35">
        <v>45838</v>
      </c>
      <c r="F562" s="36">
        <v>214</v>
      </c>
      <c r="G562" s="37">
        <v>10</v>
      </c>
      <c r="H562" s="38">
        <f>+F562/G562</f>
        <v>21.4</v>
      </c>
      <c r="I562" s="36">
        <v>-1576.5530000000001</v>
      </c>
      <c r="J562" s="36">
        <v>186.27</v>
      </c>
      <c r="K562" s="36">
        <v>0</v>
      </c>
      <c r="L562" s="36">
        <v>33.499000000000002</v>
      </c>
      <c r="M562" s="36">
        <v>-53.451000000000001</v>
      </c>
      <c r="N562" s="38">
        <f>+M562-O562</f>
        <v>-1.5080000000000027</v>
      </c>
      <c r="O562" s="36">
        <v>-51.942999999999998</v>
      </c>
      <c r="P562" s="39">
        <v>0</v>
      </c>
      <c r="Q562" s="39">
        <v>0</v>
      </c>
      <c r="R562" s="40">
        <f>SUM(P562:Q562)</f>
        <v>0</v>
      </c>
      <c r="S562" s="39"/>
      <c r="T562" s="41">
        <v>1559</v>
      </c>
    </row>
    <row r="563" spans="2:20" ht="15.6" x14ac:dyDescent="0.3">
      <c r="B563" s="28"/>
      <c r="C563" s="28"/>
      <c r="D563" s="28"/>
      <c r="E563" s="28"/>
      <c r="F563" s="28"/>
      <c r="G563" s="43"/>
      <c r="H563" s="44"/>
      <c r="I563" s="30"/>
      <c r="J563" s="30"/>
      <c r="K563" s="30"/>
      <c r="L563" s="30"/>
      <c r="M563" s="30"/>
      <c r="N563" s="45"/>
      <c r="O563" s="30"/>
      <c r="P563" s="30"/>
      <c r="Q563" s="30"/>
      <c r="R563" s="45"/>
      <c r="S563" s="30"/>
      <c r="T563" s="30"/>
    </row>
    <row r="564" spans="2:20" ht="15.6" x14ac:dyDescent="0.3">
      <c r="B564" s="47">
        <f>COUNT(B550:B563)</f>
        <v>11</v>
      </c>
      <c r="C564" s="47"/>
      <c r="D564" s="48"/>
      <c r="E564" s="48"/>
      <c r="F564" s="48">
        <f>SUM(F550:F563)</f>
        <v>17656.113835</v>
      </c>
      <c r="G564" s="49"/>
      <c r="H564" s="50">
        <f t="shared" ref="H564:O564" si="85">SUM(H550:H563)</f>
        <v>1824.126342</v>
      </c>
      <c r="I564" s="48">
        <f t="shared" si="85"/>
        <v>74950.917858999994</v>
      </c>
      <c r="J564" s="48">
        <f t="shared" si="85"/>
        <v>154135.67831799999</v>
      </c>
      <c r="K564" s="48">
        <f t="shared" si="85"/>
        <v>164018.898181</v>
      </c>
      <c r="L564" s="48">
        <f t="shared" si="85"/>
        <v>6840.5884919999999</v>
      </c>
      <c r="M564" s="48">
        <f t="shared" si="85"/>
        <v>6454.817438</v>
      </c>
      <c r="N564" s="51">
        <f t="shared" si="85"/>
        <v>2252.1493230000005</v>
      </c>
      <c r="O564" s="48">
        <f t="shared" si="85"/>
        <v>4202.6681149999995</v>
      </c>
      <c r="P564" s="52"/>
      <c r="Q564" s="52"/>
      <c r="R564" s="53"/>
      <c r="S564" s="52"/>
      <c r="T564" s="54">
        <f>SUM(T550:T563)</f>
        <v>44688</v>
      </c>
    </row>
    <row r="565" spans="2:20" ht="15.6" x14ac:dyDescent="0.3">
      <c r="B565" s="28"/>
      <c r="C565" s="28"/>
      <c r="D565" s="28"/>
      <c r="E565" s="28"/>
      <c r="F565" s="28"/>
      <c r="G565" s="43"/>
      <c r="H565" s="44"/>
      <c r="I565" s="30"/>
      <c r="J565" s="30"/>
      <c r="K565" s="30"/>
      <c r="L565" s="30"/>
      <c r="M565" s="30"/>
      <c r="N565" s="45"/>
      <c r="O565" s="30"/>
      <c r="P565" s="30"/>
      <c r="Q565" s="30"/>
      <c r="R565" s="45"/>
      <c r="S565" s="30"/>
      <c r="T565" s="30"/>
    </row>
    <row r="566" spans="2:20" ht="15.6" x14ac:dyDescent="0.3">
      <c r="B566" s="28"/>
      <c r="C566" s="28"/>
      <c r="D566" s="28"/>
      <c r="E566" s="28"/>
      <c r="F566" s="28"/>
      <c r="G566" s="43"/>
      <c r="H566" s="44"/>
      <c r="I566" s="30"/>
      <c r="J566" s="30"/>
      <c r="K566" s="30"/>
      <c r="L566" s="30"/>
      <c r="M566" s="30"/>
      <c r="N566" s="45"/>
      <c r="O566" s="30"/>
      <c r="P566" s="30"/>
      <c r="Q566" s="30"/>
      <c r="R566" s="45"/>
      <c r="S566" s="30"/>
      <c r="T566" s="30"/>
    </row>
    <row r="567" spans="2:20" ht="18" x14ac:dyDescent="0.35">
      <c r="B567" s="28"/>
      <c r="C567" s="32">
        <v>25</v>
      </c>
      <c r="D567" s="32" t="s">
        <v>815</v>
      </c>
      <c r="E567" s="61"/>
      <c r="F567" s="61"/>
      <c r="G567" s="43"/>
      <c r="H567" s="44"/>
      <c r="I567" s="30"/>
      <c r="J567" s="30"/>
      <c r="K567" s="30"/>
      <c r="L567" s="30"/>
      <c r="M567" s="30"/>
      <c r="N567" s="45"/>
      <c r="O567" s="30"/>
      <c r="P567" s="30"/>
      <c r="Q567" s="30"/>
      <c r="R567" s="45"/>
      <c r="S567" s="30"/>
      <c r="T567" s="30"/>
    </row>
    <row r="568" spans="2:20" ht="15.6" x14ac:dyDescent="0.3">
      <c r="B568" s="28"/>
      <c r="C568" s="28"/>
      <c r="D568" s="28"/>
      <c r="E568" s="28"/>
      <c r="F568" s="28"/>
      <c r="G568" s="43"/>
      <c r="H568" s="44"/>
      <c r="I568" s="30"/>
      <c r="J568" s="30"/>
      <c r="K568" s="30"/>
      <c r="L568" s="30"/>
      <c r="M568" s="30"/>
      <c r="N568" s="45"/>
      <c r="O568" s="30"/>
      <c r="P568" s="30"/>
      <c r="Q568" s="30"/>
      <c r="R568" s="45"/>
      <c r="S568" s="30"/>
      <c r="T568" s="30"/>
    </row>
    <row r="569" spans="2:20" ht="15.6" x14ac:dyDescent="0.3">
      <c r="B569" s="33">
        <v>1</v>
      </c>
      <c r="C569" s="33" t="s">
        <v>816</v>
      </c>
      <c r="D569" s="34" t="s">
        <v>817</v>
      </c>
      <c r="E569" s="35">
        <v>45838</v>
      </c>
      <c r="F569" s="36">
        <v>350</v>
      </c>
      <c r="G569" s="37">
        <v>10</v>
      </c>
      <c r="H569" s="38">
        <f t="shared" ref="H569:H574" si="86">+F569/G569</f>
        <v>35</v>
      </c>
      <c r="I569" s="36">
        <v>3311.345037</v>
      </c>
      <c r="J569" s="36">
        <v>6093.675655</v>
      </c>
      <c r="K569" s="36">
        <v>3607.0418079999999</v>
      </c>
      <c r="L569" s="36">
        <v>325.49274700000001</v>
      </c>
      <c r="M569" s="36">
        <v>-1.2892520000000001</v>
      </c>
      <c r="N569" s="38">
        <f t="shared" ref="N569:N574" si="87">+M569-O569</f>
        <v>-57.029626</v>
      </c>
      <c r="O569" s="36">
        <v>55.740374000000003</v>
      </c>
      <c r="P569" s="39">
        <v>0</v>
      </c>
      <c r="Q569" s="39">
        <v>0</v>
      </c>
      <c r="R569" s="40">
        <f t="shared" ref="R569:R574" si="88">SUM(P569:Q569)</f>
        <v>0</v>
      </c>
      <c r="S569" s="39"/>
      <c r="T569" s="41">
        <v>761</v>
      </c>
    </row>
    <row r="570" spans="2:20" ht="15.6" x14ac:dyDescent="0.3">
      <c r="B570" s="33">
        <f t="shared" ref="B570:B575" si="89">+B569+1</f>
        <v>2</v>
      </c>
      <c r="C570" s="33" t="s">
        <v>818</v>
      </c>
      <c r="D570" s="34" t="s">
        <v>819</v>
      </c>
      <c r="E570" s="35">
        <v>45838</v>
      </c>
      <c r="F570" s="36">
        <v>6288.54</v>
      </c>
      <c r="G570" s="37">
        <v>10</v>
      </c>
      <c r="H570" s="38">
        <f>+F570/G570</f>
        <v>628.85400000000004</v>
      </c>
      <c r="I570" s="36">
        <v>14527.183000000001</v>
      </c>
      <c r="J570" s="36">
        <v>35009.695</v>
      </c>
      <c r="K570" s="36">
        <v>31859.423999999999</v>
      </c>
      <c r="L570" s="36">
        <v>1614.8389999999999</v>
      </c>
      <c r="M570" s="36">
        <v>2142.3760000000002</v>
      </c>
      <c r="N570" s="38">
        <f>+M570-O570</f>
        <v>868.67500000000018</v>
      </c>
      <c r="O570" s="36">
        <v>1273.701</v>
      </c>
      <c r="P570" s="39">
        <v>5</v>
      </c>
      <c r="Q570" s="39">
        <v>2.5</v>
      </c>
      <c r="R570" s="40">
        <f>SUM(P570:Q570)</f>
        <v>7.5</v>
      </c>
      <c r="S570" s="39"/>
      <c r="T570" s="41">
        <v>6872</v>
      </c>
    </row>
    <row r="571" spans="2:20" ht="15.6" x14ac:dyDescent="0.3">
      <c r="B571" s="33">
        <f t="shared" si="89"/>
        <v>3</v>
      </c>
      <c r="C571" s="60" t="s">
        <v>820</v>
      </c>
      <c r="D571" s="34" t="s">
        <v>821</v>
      </c>
      <c r="E571" s="35">
        <v>46022</v>
      </c>
      <c r="F571" s="36"/>
      <c r="G571" s="37">
        <v>10</v>
      </c>
      <c r="H571" s="38">
        <f t="shared" si="86"/>
        <v>0</v>
      </c>
      <c r="I571" s="36"/>
      <c r="J571" s="36"/>
      <c r="K571" s="36"/>
      <c r="L571" s="36"/>
      <c r="M571" s="36"/>
      <c r="N571" s="38">
        <f t="shared" si="87"/>
        <v>0</v>
      </c>
      <c r="O571" s="36"/>
      <c r="P571" s="39"/>
      <c r="Q571" s="39"/>
      <c r="R571" s="40">
        <f t="shared" si="88"/>
        <v>0</v>
      </c>
      <c r="S571" s="39"/>
      <c r="T571" s="41"/>
    </row>
    <row r="572" spans="2:20" ht="15.6" x14ac:dyDescent="0.3">
      <c r="B572" s="33">
        <f t="shared" si="89"/>
        <v>4</v>
      </c>
      <c r="C572" s="33" t="s">
        <v>822</v>
      </c>
      <c r="D572" s="34" t="s">
        <v>823</v>
      </c>
      <c r="E572" s="35">
        <v>45838</v>
      </c>
      <c r="F572" s="36">
        <v>544.57417999999996</v>
      </c>
      <c r="G572" s="37">
        <v>10</v>
      </c>
      <c r="H572" s="38">
        <f t="shared" si="86"/>
        <v>54.457417999999997</v>
      </c>
      <c r="I572" s="36">
        <v>9481.9809999999998</v>
      </c>
      <c r="J572" s="36">
        <v>37553.849000000002</v>
      </c>
      <c r="K572" s="36">
        <v>29088.373</v>
      </c>
      <c r="L572" s="36">
        <v>2432.248</v>
      </c>
      <c r="M572" s="36">
        <v>-387.48500000000001</v>
      </c>
      <c r="N572" s="38">
        <f t="shared" si="87"/>
        <v>-106.88400000000001</v>
      </c>
      <c r="O572" s="36">
        <v>-280.601</v>
      </c>
      <c r="P572" s="39">
        <v>0</v>
      </c>
      <c r="Q572" s="39">
        <v>0</v>
      </c>
      <c r="R572" s="40">
        <f t="shared" si="88"/>
        <v>0</v>
      </c>
      <c r="S572" s="39"/>
      <c r="T572" s="41">
        <v>2421</v>
      </c>
    </row>
    <row r="573" spans="2:20" ht="15.6" x14ac:dyDescent="0.3">
      <c r="B573" s="33">
        <f t="shared" si="89"/>
        <v>5</v>
      </c>
      <c r="C573" s="33" t="s">
        <v>824</v>
      </c>
      <c r="D573" s="34" t="s">
        <v>825</v>
      </c>
      <c r="E573" s="35">
        <v>45930</v>
      </c>
      <c r="F573" s="36">
        <v>82.470370000000003</v>
      </c>
      <c r="G573" s="37">
        <v>10</v>
      </c>
      <c r="H573" s="38">
        <f t="shared" si="86"/>
        <v>8.2470370000000006</v>
      </c>
      <c r="I573" s="36">
        <v>6186.1930000000002</v>
      </c>
      <c r="J573" s="36">
        <v>14203.212</v>
      </c>
      <c r="K573" s="36">
        <v>8854.5480000000007</v>
      </c>
      <c r="L573" s="36">
        <v>46.415999999999997</v>
      </c>
      <c r="M573" s="36">
        <f>368.146+724.087</f>
        <v>1092.2329999999999</v>
      </c>
      <c r="N573" s="38">
        <f t="shared" si="87"/>
        <v>262.81999999999994</v>
      </c>
      <c r="O573" s="36">
        <v>829.41300000000001</v>
      </c>
      <c r="P573" s="39">
        <v>0</v>
      </c>
      <c r="Q573" s="39">
        <v>0</v>
      </c>
      <c r="R573" s="40">
        <f t="shared" si="88"/>
        <v>0</v>
      </c>
      <c r="S573" s="39"/>
      <c r="T573" s="41">
        <v>1261</v>
      </c>
    </row>
    <row r="574" spans="2:20" ht="15.6" x14ac:dyDescent="0.3">
      <c r="B574" s="33">
        <f t="shared" si="89"/>
        <v>6</v>
      </c>
      <c r="C574" s="60" t="s">
        <v>826</v>
      </c>
      <c r="D574" s="34" t="s">
        <v>827</v>
      </c>
      <c r="E574" s="35">
        <v>46022</v>
      </c>
      <c r="F574" s="36"/>
      <c r="G574" s="37">
        <v>10</v>
      </c>
      <c r="H574" s="38">
        <f t="shared" si="86"/>
        <v>0</v>
      </c>
      <c r="I574" s="36"/>
      <c r="J574" s="36"/>
      <c r="K574" s="36"/>
      <c r="L574" s="36"/>
      <c r="M574" s="36"/>
      <c r="N574" s="38">
        <f t="shared" si="87"/>
        <v>0</v>
      </c>
      <c r="O574" s="36"/>
      <c r="P574" s="39"/>
      <c r="Q574" s="39"/>
      <c r="R574" s="40">
        <f t="shared" si="88"/>
        <v>0</v>
      </c>
      <c r="S574" s="39"/>
      <c r="T574" s="41"/>
    </row>
    <row r="575" spans="2:20" ht="15.6" x14ac:dyDescent="0.3">
      <c r="B575" s="33">
        <f t="shared" si="89"/>
        <v>7</v>
      </c>
      <c r="C575" s="60" t="s">
        <v>828</v>
      </c>
      <c r="D575" s="46" t="s">
        <v>829</v>
      </c>
      <c r="E575" s="35">
        <v>46022</v>
      </c>
      <c r="F575" s="36"/>
      <c r="G575" s="37">
        <v>10</v>
      </c>
      <c r="H575" s="38">
        <f>+F575/G575</f>
        <v>0</v>
      </c>
      <c r="I575" s="36"/>
      <c r="J575" s="36"/>
      <c r="K575" s="36"/>
      <c r="L575" s="36"/>
      <c r="M575" s="36"/>
      <c r="N575" s="38">
        <f>+M575-O575</f>
        <v>0</v>
      </c>
      <c r="O575" s="36"/>
      <c r="P575" s="39"/>
      <c r="Q575" s="39"/>
      <c r="R575" s="40">
        <f>SUM(P575:Q575)</f>
        <v>0</v>
      </c>
      <c r="S575" s="39"/>
      <c r="T575" s="41"/>
    </row>
    <row r="576" spans="2:20" ht="15.6" x14ac:dyDescent="0.3">
      <c r="B576" s="63"/>
      <c r="C576" s="62"/>
      <c r="D576" s="64"/>
      <c r="E576" s="65"/>
      <c r="F576" s="66"/>
      <c r="G576" s="43"/>
      <c r="H576" s="67"/>
      <c r="I576" s="66"/>
      <c r="J576" s="66"/>
      <c r="K576" s="66"/>
      <c r="L576" s="66"/>
      <c r="M576" s="66"/>
      <c r="N576" s="67"/>
      <c r="O576" s="66"/>
      <c r="P576" s="68"/>
      <c r="Q576" s="68"/>
      <c r="R576" s="69"/>
      <c r="S576" s="68"/>
      <c r="T576" s="70"/>
    </row>
    <row r="577" spans="2:20" ht="15.6" x14ac:dyDescent="0.3">
      <c r="B577" s="47">
        <f>COUNT(B569:B576)</f>
        <v>7</v>
      </c>
      <c r="C577" s="47"/>
      <c r="D577" s="48"/>
      <c r="E577" s="48"/>
      <c r="F577" s="48">
        <f>SUM(F569:F576)</f>
        <v>7265.5845499999996</v>
      </c>
      <c r="G577" s="49"/>
      <c r="H577" s="50">
        <f>SUM(H569:H576)</f>
        <v>726.55845499999998</v>
      </c>
      <c r="I577" s="48">
        <f>SUM(I569:I576)</f>
        <v>33506.702037000003</v>
      </c>
      <c r="J577" s="48">
        <f>SUM(J569:J576)</f>
        <v>92860.431654999993</v>
      </c>
      <c r="K577" s="48">
        <f>SUM(K569:K576)</f>
        <v>73409.386807999996</v>
      </c>
      <c r="L577" s="48">
        <f>SUM(L569:L576)</f>
        <v>4418.9957469999999</v>
      </c>
      <c r="M577" s="48">
        <f>SUM(M569:M576)</f>
        <v>2845.8347480000002</v>
      </c>
      <c r="N577" s="51">
        <f>SUM(N569:N576)</f>
        <v>967.5813740000001</v>
      </c>
      <c r="O577" s="48">
        <f>SUM(O569:O576)</f>
        <v>1878.2533739999999</v>
      </c>
      <c r="P577" s="52"/>
      <c r="Q577" s="52"/>
      <c r="R577" s="53"/>
      <c r="S577" s="52"/>
      <c r="T577" s="54">
        <f>SUM(T569:T576)</f>
        <v>11315</v>
      </c>
    </row>
    <row r="578" spans="2:20" ht="15.6" x14ac:dyDescent="0.3">
      <c r="B578" s="28"/>
      <c r="C578" s="28"/>
      <c r="D578" s="28"/>
      <c r="E578" s="28"/>
      <c r="F578" s="28"/>
      <c r="G578" s="43"/>
      <c r="H578" s="44"/>
      <c r="I578" s="30"/>
      <c r="J578" s="30"/>
      <c r="K578" s="30"/>
      <c r="L578" s="30"/>
      <c r="M578" s="30"/>
      <c r="N578" s="45"/>
      <c r="O578" s="30"/>
      <c r="P578" s="30"/>
      <c r="Q578" s="30"/>
      <c r="R578" s="45"/>
      <c r="S578" s="30"/>
      <c r="T578" s="30"/>
    </row>
    <row r="579" spans="2:20" ht="15.6" x14ac:dyDescent="0.3">
      <c r="B579" s="28"/>
      <c r="C579" s="28"/>
      <c r="D579" s="28"/>
      <c r="E579" s="28"/>
      <c r="F579" s="28"/>
      <c r="G579" s="43"/>
      <c r="H579" s="44"/>
      <c r="I579" s="30"/>
      <c r="J579" s="30"/>
      <c r="K579" s="30"/>
      <c r="L579" s="30"/>
      <c r="M579" s="30"/>
      <c r="N579" s="45"/>
      <c r="O579" s="30"/>
      <c r="P579" s="30"/>
      <c r="Q579" s="30"/>
      <c r="R579" s="45"/>
      <c r="S579" s="30"/>
      <c r="T579" s="30"/>
    </row>
    <row r="580" spans="2:20" ht="18" x14ac:dyDescent="0.35">
      <c r="B580" s="28"/>
      <c r="C580" s="32">
        <v>26</v>
      </c>
      <c r="D580" s="32" t="s">
        <v>830</v>
      </c>
      <c r="E580" s="61"/>
      <c r="F580" s="61"/>
      <c r="G580" s="43"/>
      <c r="H580" s="44"/>
      <c r="I580" s="30"/>
      <c r="J580" s="30"/>
      <c r="K580" s="30"/>
      <c r="L580" s="30"/>
      <c r="M580" s="30"/>
      <c r="N580" s="45"/>
      <c r="O580" s="30"/>
      <c r="P580" s="30"/>
      <c r="Q580" s="30"/>
      <c r="R580" s="45"/>
      <c r="S580" s="30"/>
      <c r="T580" s="30"/>
    </row>
    <row r="581" spans="2:20" ht="15.6" x14ac:dyDescent="0.3">
      <c r="B581" s="28"/>
      <c r="C581" s="28"/>
      <c r="D581" s="28"/>
      <c r="E581" s="28"/>
      <c r="F581" s="28"/>
      <c r="G581" s="43"/>
      <c r="H581" s="44"/>
      <c r="I581" s="30"/>
      <c r="J581" s="30"/>
      <c r="K581" s="30"/>
      <c r="L581" s="30"/>
      <c r="M581" s="30"/>
      <c r="N581" s="45"/>
      <c r="O581" s="30"/>
      <c r="P581" s="30"/>
      <c r="Q581" s="30"/>
      <c r="R581" s="45"/>
      <c r="S581" s="30"/>
      <c r="T581" s="30"/>
    </row>
    <row r="582" spans="2:20" ht="15.6" x14ac:dyDescent="0.3">
      <c r="B582" s="60">
        <v>1</v>
      </c>
      <c r="C582" s="60" t="s">
        <v>831</v>
      </c>
      <c r="D582" s="34" t="s">
        <v>832</v>
      </c>
      <c r="E582" s="35">
        <v>45838</v>
      </c>
      <c r="F582" s="36">
        <v>274.28429999999997</v>
      </c>
      <c r="G582" s="37">
        <v>10</v>
      </c>
      <c r="H582" s="38">
        <f>+F582/G582</f>
        <v>27.428429999999999</v>
      </c>
      <c r="I582" s="36">
        <v>1069.220098</v>
      </c>
      <c r="J582" s="36">
        <v>1348.9088389999999</v>
      </c>
      <c r="K582" s="36">
        <v>1142.8895110000001</v>
      </c>
      <c r="L582" s="36">
        <v>13.470777</v>
      </c>
      <c r="M582" s="36">
        <v>117.166302</v>
      </c>
      <c r="N582" s="38">
        <f>+M582-O582</f>
        <v>27.274515000000008</v>
      </c>
      <c r="O582" s="36">
        <v>89.891786999999994</v>
      </c>
      <c r="P582" s="39">
        <v>0</v>
      </c>
      <c r="Q582" s="39">
        <v>0</v>
      </c>
      <c r="R582" s="40">
        <f>SUM(P582:Q582)</f>
        <v>0</v>
      </c>
      <c r="S582" s="39"/>
      <c r="T582" s="41">
        <v>258</v>
      </c>
    </row>
    <row r="583" spans="2:20" ht="15.6" x14ac:dyDescent="0.3">
      <c r="B583" s="60">
        <f>+B582+1</f>
        <v>2</v>
      </c>
      <c r="C583" s="60" t="s">
        <v>833</v>
      </c>
      <c r="D583" s="46" t="s">
        <v>834</v>
      </c>
      <c r="E583" s="35">
        <v>45838</v>
      </c>
      <c r="F583" s="80">
        <v>721.05200000000002</v>
      </c>
      <c r="G583" s="81">
        <v>10</v>
      </c>
      <c r="H583" s="82">
        <f t="shared" ref="H583:H587" si="90">+F583/G583</f>
        <v>72.105199999999996</v>
      </c>
      <c r="I583" s="80">
        <v>467.17752000000002</v>
      </c>
      <c r="J583" s="80">
        <v>1060.3155340000001</v>
      </c>
      <c r="K583" s="80">
        <v>23.695298000000001</v>
      </c>
      <c r="L583" s="80">
        <v>63.361511999999998</v>
      </c>
      <c r="M583" s="80">
        <v>-53.906359000000002</v>
      </c>
      <c r="N583" s="82">
        <f t="shared" ref="N583:N587" si="91">+M583-O583</f>
        <v>9.0522109999999998</v>
      </c>
      <c r="O583" s="80">
        <v>-62.958570000000002</v>
      </c>
      <c r="P583" s="83">
        <v>0</v>
      </c>
      <c r="Q583" s="83">
        <v>0</v>
      </c>
      <c r="R583" s="84">
        <f t="shared" ref="R583" si="92">SUM(P583:Q583)</f>
        <v>0</v>
      </c>
      <c r="S583" s="83"/>
      <c r="T583" s="85">
        <v>1669</v>
      </c>
    </row>
    <row r="584" spans="2:20" ht="15.6" x14ac:dyDescent="0.3">
      <c r="B584" s="60">
        <f>+B583+1</f>
        <v>3</v>
      </c>
      <c r="C584" s="33" t="s">
        <v>835</v>
      </c>
      <c r="D584" s="34" t="s">
        <v>836</v>
      </c>
      <c r="E584" s="35">
        <v>45838</v>
      </c>
      <c r="F584" s="36">
        <v>17860.92772</v>
      </c>
      <c r="G584" s="37">
        <v>10</v>
      </c>
      <c r="H584" s="38">
        <f t="shared" si="90"/>
        <v>1786.092772</v>
      </c>
      <c r="I584" s="36">
        <v>15463.064</v>
      </c>
      <c r="J584" s="36">
        <v>28406.323</v>
      </c>
      <c r="K584" s="36">
        <v>9969.1830000000009</v>
      </c>
      <c r="L584" s="36">
        <v>1256.971</v>
      </c>
      <c r="M584" s="36">
        <v>-81.41</v>
      </c>
      <c r="N584" s="38">
        <f t="shared" si="91"/>
        <v>176.52</v>
      </c>
      <c r="O584" s="36">
        <v>-257.93</v>
      </c>
      <c r="P584" s="39">
        <v>0</v>
      </c>
      <c r="Q584" s="39">
        <v>0</v>
      </c>
      <c r="R584" s="40">
        <f t="shared" ref="R584:R587" si="93">SUM(P584:Q584)</f>
        <v>0</v>
      </c>
      <c r="S584" s="39"/>
      <c r="T584" s="41">
        <v>19927</v>
      </c>
    </row>
    <row r="585" spans="2:20" ht="15.6" x14ac:dyDescent="0.3">
      <c r="B585" s="60">
        <f>+B584+1</f>
        <v>4</v>
      </c>
      <c r="C585" s="33" t="s">
        <v>837</v>
      </c>
      <c r="D585" s="34" t="s">
        <v>838</v>
      </c>
      <c r="E585" s="35">
        <v>46022</v>
      </c>
      <c r="F585" s="36"/>
      <c r="G585" s="37">
        <v>10</v>
      </c>
      <c r="H585" s="38">
        <f t="shared" si="90"/>
        <v>0</v>
      </c>
      <c r="I585" s="36"/>
      <c r="J585" s="36"/>
      <c r="K585" s="36"/>
      <c r="L585" s="36"/>
      <c r="M585" s="36"/>
      <c r="N585" s="38">
        <f t="shared" si="91"/>
        <v>0</v>
      </c>
      <c r="O585" s="36"/>
      <c r="P585" s="39"/>
      <c r="Q585" s="39"/>
      <c r="R585" s="40">
        <f t="shared" si="93"/>
        <v>0</v>
      </c>
      <c r="S585" s="39"/>
      <c r="T585" s="41"/>
    </row>
    <row r="586" spans="2:20" ht="15.6" x14ac:dyDescent="0.3">
      <c r="B586" s="60">
        <f>+B585+1</f>
        <v>5</v>
      </c>
      <c r="C586" s="33" t="s">
        <v>839</v>
      </c>
      <c r="D586" s="34" t="s">
        <v>840</v>
      </c>
      <c r="E586" s="35">
        <v>45838</v>
      </c>
      <c r="F586" s="36">
        <v>1980.951</v>
      </c>
      <c r="G586" s="37">
        <v>10</v>
      </c>
      <c r="H586" s="38">
        <f t="shared" si="90"/>
        <v>198.0951</v>
      </c>
      <c r="I586" s="36">
        <v>19159.690999999999</v>
      </c>
      <c r="J586" s="36">
        <v>128358.48699999999</v>
      </c>
      <c r="K586" s="36">
        <v>6924.3789999999999</v>
      </c>
      <c r="L586" s="36">
        <v>419.73200000000003</v>
      </c>
      <c r="M586" s="36">
        <v>8231.0220000000008</v>
      </c>
      <c r="N586" s="38">
        <f t="shared" si="91"/>
        <v>1552.1050000000005</v>
      </c>
      <c r="O586" s="36">
        <v>6678.9170000000004</v>
      </c>
      <c r="P586" s="39">
        <f>100+230</f>
        <v>330</v>
      </c>
      <c r="Q586" s="39">
        <v>0</v>
      </c>
      <c r="R586" s="40">
        <f t="shared" si="93"/>
        <v>330</v>
      </c>
      <c r="S586" s="39"/>
      <c r="T586" s="41">
        <v>16878</v>
      </c>
    </row>
    <row r="587" spans="2:20" ht="15.6" x14ac:dyDescent="0.3">
      <c r="B587" s="60">
        <f>+B586+1</f>
        <v>6</v>
      </c>
      <c r="C587" s="33" t="s">
        <v>841</v>
      </c>
      <c r="D587" s="34" t="s">
        <v>842</v>
      </c>
      <c r="E587" s="35">
        <v>46022</v>
      </c>
      <c r="F587" s="36"/>
      <c r="G587" s="37">
        <v>10</v>
      </c>
      <c r="H587" s="38">
        <f t="shared" si="90"/>
        <v>0</v>
      </c>
      <c r="I587" s="36"/>
      <c r="J587" s="36"/>
      <c r="K587" s="36"/>
      <c r="L587" s="36"/>
      <c r="M587" s="36"/>
      <c r="N587" s="38">
        <f t="shared" si="91"/>
        <v>0</v>
      </c>
      <c r="O587" s="36"/>
      <c r="P587" s="39"/>
      <c r="Q587" s="39"/>
      <c r="R587" s="40">
        <f t="shared" si="93"/>
        <v>0</v>
      </c>
      <c r="S587" s="39"/>
      <c r="T587" s="41"/>
    </row>
    <row r="588" spans="2:20" ht="15.6" x14ac:dyDescent="0.3">
      <c r="B588" s="28"/>
      <c r="C588" s="28"/>
      <c r="D588" s="28"/>
      <c r="E588" s="28"/>
      <c r="F588" s="28"/>
      <c r="G588" s="43"/>
      <c r="H588" s="44"/>
      <c r="I588" s="30"/>
      <c r="J588" s="30"/>
      <c r="K588" s="30"/>
      <c r="L588" s="30"/>
      <c r="M588" s="30"/>
      <c r="N588" s="45"/>
      <c r="O588" s="30"/>
      <c r="P588" s="30"/>
      <c r="Q588" s="30"/>
      <c r="R588" s="45"/>
      <c r="S588" s="30"/>
      <c r="T588" s="30"/>
    </row>
    <row r="589" spans="2:20" ht="15.6" x14ac:dyDescent="0.3">
      <c r="B589" s="47">
        <f>COUNT(B582:B588)</f>
        <v>6</v>
      </c>
      <c r="C589" s="47"/>
      <c r="D589" s="48"/>
      <c r="E589" s="48"/>
      <c r="F589" s="48">
        <f>SUM(F582:F588)</f>
        <v>20837.21502</v>
      </c>
      <c r="G589" s="49"/>
      <c r="H589" s="50">
        <f>SUM(H582:H588)</f>
        <v>2083.7215019999999</v>
      </c>
      <c r="I589" s="48">
        <f>SUM(I582:I588)</f>
        <v>36159.152618</v>
      </c>
      <c r="J589" s="48">
        <f>SUM(J582:J588)</f>
        <v>159174.034373</v>
      </c>
      <c r="K589" s="48">
        <f>SUM(K582:K588)</f>
        <v>18060.146809000002</v>
      </c>
      <c r="L589" s="48">
        <f>SUM(L582:L588)</f>
        <v>1753.5352889999999</v>
      </c>
      <c r="M589" s="48">
        <f>SUM(M582:M588)</f>
        <v>8212.8719430000001</v>
      </c>
      <c r="N589" s="51">
        <f>SUM(N582:N588)</f>
        <v>1764.9517260000005</v>
      </c>
      <c r="O589" s="48">
        <f>SUM(O582:O588)</f>
        <v>6447.9202170000008</v>
      </c>
      <c r="P589" s="52"/>
      <c r="Q589" s="52"/>
      <c r="R589" s="53"/>
      <c r="S589" s="52"/>
      <c r="T589" s="54">
        <f>SUM(T582:T588)</f>
        <v>38732</v>
      </c>
    </row>
    <row r="590" spans="2:20" ht="15.6" x14ac:dyDescent="0.3">
      <c r="B590" s="28"/>
      <c r="C590" s="28"/>
      <c r="D590" s="28"/>
      <c r="E590" s="28"/>
      <c r="F590" s="28"/>
      <c r="G590" s="43"/>
      <c r="H590" s="44"/>
      <c r="I590" s="30"/>
      <c r="J590" s="30"/>
      <c r="K590" s="30"/>
      <c r="L590" s="30"/>
      <c r="M590" s="30"/>
      <c r="N590" s="45"/>
      <c r="O590" s="30"/>
      <c r="P590" s="30"/>
      <c r="Q590" s="30"/>
      <c r="R590" s="45"/>
      <c r="S590" s="30"/>
      <c r="T590" s="30"/>
    </row>
    <row r="591" spans="2:20" ht="15.6" x14ac:dyDescent="0.3">
      <c r="B591" s="28"/>
      <c r="C591" s="28"/>
      <c r="D591" s="28"/>
      <c r="E591" s="28"/>
      <c r="F591" s="28"/>
      <c r="G591" s="43"/>
      <c r="H591" s="44"/>
      <c r="I591" s="30"/>
      <c r="J591" s="30"/>
      <c r="K591" s="30"/>
      <c r="L591" s="30"/>
      <c r="M591" s="30"/>
      <c r="N591" s="45"/>
      <c r="O591" s="30"/>
      <c r="P591" s="30"/>
      <c r="Q591" s="30"/>
      <c r="R591" s="45"/>
      <c r="S591" s="30"/>
      <c r="T591" s="30"/>
    </row>
    <row r="592" spans="2:20" ht="18" x14ac:dyDescent="0.35">
      <c r="B592" s="28"/>
      <c r="C592" s="32">
        <v>27</v>
      </c>
      <c r="D592" s="32" t="s">
        <v>843</v>
      </c>
      <c r="E592" s="61"/>
      <c r="F592" s="61"/>
      <c r="G592" s="43"/>
      <c r="H592" s="44"/>
      <c r="I592" s="30"/>
      <c r="J592" s="30"/>
      <c r="K592" s="30"/>
      <c r="L592" s="30"/>
      <c r="M592" s="30"/>
      <c r="N592" s="45"/>
      <c r="O592" s="30"/>
      <c r="P592" s="30"/>
      <c r="Q592" s="30"/>
      <c r="R592" s="45"/>
      <c r="S592" s="30"/>
      <c r="T592" s="30"/>
    </row>
    <row r="593" spans="2:20" ht="15.6" x14ac:dyDescent="0.3">
      <c r="B593" s="28"/>
      <c r="C593" s="28"/>
      <c r="D593" s="28"/>
      <c r="E593" s="28"/>
      <c r="F593" s="28"/>
      <c r="G593" s="43"/>
      <c r="H593" s="44"/>
      <c r="I593" s="30"/>
      <c r="J593" s="30"/>
      <c r="K593" s="30"/>
      <c r="L593" s="30"/>
      <c r="M593" s="30"/>
      <c r="N593" s="45"/>
      <c r="O593" s="30"/>
      <c r="P593" s="30"/>
      <c r="Q593" s="30"/>
      <c r="R593" s="45"/>
      <c r="S593" s="30"/>
      <c r="T593" s="30"/>
    </row>
    <row r="594" spans="2:20" ht="15.6" x14ac:dyDescent="0.3">
      <c r="B594" s="33">
        <v>1</v>
      </c>
      <c r="C594" s="33" t="s">
        <v>844</v>
      </c>
      <c r="D594" s="34" t="s">
        <v>845</v>
      </c>
      <c r="E594" s="35">
        <v>46022</v>
      </c>
      <c r="F594" s="36"/>
      <c r="G594" s="37">
        <v>10</v>
      </c>
      <c r="H594" s="38">
        <f t="shared" ref="H594:H609" si="94">+F594/G594</f>
        <v>0</v>
      </c>
      <c r="I594" s="36"/>
      <c r="J594" s="36"/>
      <c r="K594" s="36"/>
      <c r="L594" s="36"/>
      <c r="M594" s="36"/>
      <c r="N594" s="38">
        <f t="shared" ref="N594:N609" si="95">+M594-O594</f>
        <v>0</v>
      </c>
      <c r="O594" s="36"/>
      <c r="P594" s="39"/>
      <c r="Q594" s="39"/>
      <c r="R594" s="40">
        <f t="shared" ref="R594:R609" si="96">SUM(P594:Q594)</f>
        <v>0</v>
      </c>
      <c r="S594" s="39"/>
      <c r="T594" s="41"/>
    </row>
    <row r="595" spans="2:20" ht="15.6" x14ac:dyDescent="0.3">
      <c r="B595" s="33">
        <f>+B594+1</f>
        <v>2</v>
      </c>
      <c r="C595" s="33" t="s">
        <v>846</v>
      </c>
      <c r="D595" s="34" t="s">
        <v>847</v>
      </c>
      <c r="E595" s="35">
        <v>45838</v>
      </c>
      <c r="F595" s="36">
        <v>3952.6923099999999</v>
      </c>
      <c r="G595" s="37">
        <v>10</v>
      </c>
      <c r="H595" s="38">
        <f>+F595/G595</f>
        <v>395.26923099999999</v>
      </c>
      <c r="I595" s="36">
        <v>14443.952244</v>
      </c>
      <c r="J595" s="36">
        <v>38453.351018000001</v>
      </c>
      <c r="K595" s="36">
        <v>56135.421068000003</v>
      </c>
      <c r="L595" s="36">
        <v>2054.7569830000002</v>
      </c>
      <c r="M595" s="36">
        <v>4132.0685759999997</v>
      </c>
      <c r="N595" s="38">
        <f>+M595-O595</f>
        <v>670.76244499999984</v>
      </c>
      <c r="O595" s="36">
        <v>3461.3061309999998</v>
      </c>
      <c r="P595" s="39">
        <f>25+45</f>
        <v>70</v>
      </c>
      <c r="Q595" s="39">
        <v>0</v>
      </c>
      <c r="R595" s="40">
        <f>SUM(P595:Q595)</f>
        <v>70</v>
      </c>
      <c r="S595" s="39"/>
      <c r="T595" s="41">
        <v>13041</v>
      </c>
    </row>
    <row r="596" spans="2:20" ht="15.6" x14ac:dyDescent="0.3">
      <c r="B596" s="33">
        <f>+B595+1</f>
        <v>3</v>
      </c>
      <c r="C596" s="33" t="s">
        <v>848</v>
      </c>
      <c r="D596" s="34" t="s">
        <v>849</v>
      </c>
      <c r="E596" s="35">
        <v>45838</v>
      </c>
      <c r="F596" s="36">
        <v>5</v>
      </c>
      <c r="G596" s="37">
        <v>10</v>
      </c>
      <c r="H596" s="38">
        <f>+F596/G596</f>
        <v>0.5</v>
      </c>
      <c r="I596" s="36">
        <v>81.917000000000002</v>
      </c>
      <c r="J596" s="36">
        <v>878.947</v>
      </c>
      <c r="K596" s="36">
        <v>0</v>
      </c>
      <c r="L596" s="36">
        <v>1.4999999999999999E-2</v>
      </c>
      <c r="M596" s="36">
        <v>46.448</v>
      </c>
      <c r="N596" s="38">
        <f>+M596-O596</f>
        <v>0</v>
      </c>
      <c r="O596" s="36">
        <v>46.448</v>
      </c>
      <c r="P596" s="39">
        <v>0</v>
      </c>
      <c r="Q596" s="39">
        <v>0</v>
      </c>
      <c r="R596" s="40">
        <f>SUM(P596:Q596)</f>
        <v>0</v>
      </c>
      <c r="S596" s="39"/>
      <c r="T596" s="41">
        <v>560</v>
      </c>
    </row>
    <row r="597" spans="2:20" ht="15.6" x14ac:dyDescent="0.3">
      <c r="B597" s="33">
        <f t="shared" ref="B597:B609" si="97">+B596+1</f>
        <v>4</v>
      </c>
      <c r="C597" s="33" t="s">
        <v>850</v>
      </c>
      <c r="D597" s="34" t="s">
        <v>851</v>
      </c>
      <c r="E597" s="35">
        <v>45838</v>
      </c>
      <c r="F597" s="36">
        <v>1134</v>
      </c>
      <c r="G597" s="37">
        <v>1</v>
      </c>
      <c r="H597" s="38">
        <f t="shared" si="94"/>
        <v>1134</v>
      </c>
      <c r="I597" s="36">
        <v>11959.442775</v>
      </c>
      <c r="J597" s="36">
        <v>13382.922474999999</v>
      </c>
      <c r="K597" s="36">
        <v>8012.8052260000004</v>
      </c>
      <c r="L597" s="36">
        <v>33.691533</v>
      </c>
      <c r="M597" s="36">
        <v>2077.7274189999998</v>
      </c>
      <c r="N597" s="38">
        <f t="shared" si="95"/>
        <v>-25.25921900000003</v>
      </c>
      <c r="O597" s="36">
        <v>2102.9866379999999</v>
      </c>
      <c r="P597" s="39">
        <v>0</v>
      </c>
      <c r="Q597" s="39">
        <v>0</v>
      </c>
      <c r="R597" s="40">
        <f t="shared" si="96"/>
        <v>0</v>
      </c>
      <c r="S597" s="39"/>
      <c r="T597" s="41">
        <v>4591</v>
      </c>
    </row>
    <row r="598" spans="2:20" ht="15.6" x14ac:dyDescent="0.3">
      <c r="B598" s="33">
        <f t="shared" si="97"/>
        <v>5</v>
      </c>
      <c r="C598" s="33" t="s">
        <v>852</v>
      </c>
      <c r="D598" s="34" t="s">
        <v>853</v>
      </c>
      <c r="E598" s="35">
        <v>45838</v>
      </c>
      <c r="F598" s="36">
        <v>898.36923000000002</v>
      </c>
      <c r="G598" s="37">
        <v>10</v>
      </c>
      <c r="H598" s="38">
        <f t="shared" si="94"/>
        <v>89.836922999999999</v>
      </c>
      <c r="I598" s="36">
        <v>10918.311</v>
      </c>
      <c r="J598" s="36">
        <v>14254.526</v>
      </c>
      <c r="K598" s="36">
        <v>9018.9609999999993</v>
      </c>
      <c r="L598" s="36">
        <v>227.71600000000001</v>
      </c>
      <c r="M598" s="36">
        <v>1030.9269999999999</v>
      </c>
      <c r="N598" s="38">
        <f t="shared" si="95"/>
        <v>0</v>
      </c>
      <c r="O598" s="36">
        <v>1030.9269999999999</v>
      </c>
      <c r="P598" s="39">
        <v>0</v>
      </c>
      <c r="Q598" s="39">
        <v>0</v>
      </c>
      <c r="R598" s="40">
        <f t="shared" si="96"/>
        <v>0</v>
      </c>
      <c r="S598" s="39"/>
      <c r="T598" s="41">
        <v>8869</v>
      </c>
    </row>
    <row r="599" spans="2:20" ht="15.6" x14ac:dyDescent="0.3">
      <c r="B599" s="33">
        <f t="shared" si="97"/>
        <v>6</v>
      </c>
      <c r="C599" s="33" t="s">
        <v>854</v>
      </c>
      <c r="D599" s="34" t="s">
        <v>855</v>
      </c>
      <c r="E599" s="35">
        <v>46022</v>
      </c>
      <c r="F599" s="36"/>
      <c r="G599" s="37">
        <v>10</v>
      </c>
      <c r="H599" s="38">
        <f>+F599/G599</f>
        <v>0</v>
      </c>
      <c r="I599" s="36"/>
      <c r="J599" s="36"/>
      <c r="K599" s="36"/>
      <c r="L599" s="36"/>
      <c r="M599" s="36"/>
      <c r="N599" s="38">
        <f>+M599-O599</f>
        <v>0</v>
      </c>
      <c r="O599" s="36"/>
      <c r="P599" s="39"/>
      <c r="Q599" s="39"/>
      <c r="R599" s="40">
        <f>SUM(P599:Q599)</f>
        <v>0</v>
      </c>
      <c r="S599" s="39"/>
      <c r="T599" s="41"/>
    </row>
    <row r="600" spans="2:20" ht="15.6" x14ac:dyDescent="0.3">
      <c r="B600" s="33">
        <f t="shared" si="97"/>
        <v>7</v>
      </c>
      <c r="C600" s="60" t="s">
        <v>856</v>
      </c>
      <c r="D600" s="34" t="s">
        <v>857</v>
      </c>
      <c r="E600" s="35">
        <v>45838</v>
      </c>
      <c r="F600" s="36">
        <v>118.5921</v>
      </c>
      <c r="G600" s="37">
        <v>10</v>
      </c>
      <c r="H600" s="38">
        <f t="shared" si="94"/>
        <v>11.859210000000001</v>
      </c>
      <c r="I600" s="36">
        <v>1492.2576670000001</v>
      </c>
      <c r="J600" s="36">
        <v>2104.2688159999998</v>
      </c>
      <c r="K600" s="36">
        <v>1856.0581649999999</v>
      </c>
      <c r="L600" s="36">
        <v>14.186752</v>
      </c>
      <c r="M600" s="36">
        <v>240.65127699999999</v>
      </c>
      <c r="N600" s="38">
        <f t="shared" si="95"/>
        <v>87.706090999999986</v>
      </c>
      <c r="O600" s="36">
        <v>152.94518600000001</v>
      </c>
      <c r="P600" s="39">
        <v>60</v>
      </c>
      <c r="Q600" s="39">
        <v>0</v>
      </c>
      <c r="R600" s="40">
        <f t="shared" si="96"/>
        <v>60</v>
      </c>
      <c r="S600" s="39"/>
      <c r="T600" s="41">
        <v>2475</v>
      </c>
    </row>
    <row r="601" spans="2:20" ht="15.6" x14ac:dyDescent="0.3">
      <c r="B601" s="33">
        <f t="shared" si="97"/>
        <v>8</v>
      </c>
      <c r="C601" s="60" t="s">
        <v>858</v>
      </c>
      <c r="D601" s="34" t="s">
        <v>859</v>
      </c>
      <c r="E601" s="35">
        <v>46022</v>
      </c>
      <c r="F601" s="36"/>
      <c r="G601" s="37">
        <v>10</v>
      </c>
      <c r="H601" s="38">
        <f t="shared" si="94"/>
        <v>0</v>
      </c>
      <c r="I601" s="36"/>
      <c r="J601" s="36"/>
      <c r="K601" s="36"/>
      <c r="L601" s="36"/>
      <c r="M601" s="36"/>
      <c r="N601" s="38">
        <f t="shared" si="95"/>
        <v>0</v>
      </c>
      <c r="O601" s="36"/>
      <c r="P601" s="39"/>
      <c r="Q601" s="39"/>
      <c r="R601" s="40">
        <f t="shared" si="96"/>
        <v>0</v>
      </c>
      <c r="S601" s="39"/>
      <c r="T601" s="41"/>
    </row>
    <row r="602" spans="2:20" ht="15.6" x14ac:dyDescent="0.3">
      <c r="B602" s="33">
        <f t="shared" si="97"/>
        <v>9</v>
      </c>
      <c r="C602" s="60" t="s">
        <v>860</v>
      </c>
      <c r="D602" s="34" t="s">
        <v>861</v>
      </c>
      <c r="E602" s="35">
        <v>45838</v>
      </c>
      <c r="F602" s="36">
        <v>285.24552399999999</v>
      </c>
      <c r="G602" s="37">
        <v>1</v>
      </c>
      <c r="H602" s="38">
        <f>+F602/G602</f>
        <v>285.24552399999999</v>
      </c>
      <c r="I602" s="36">
        <v>977.38050299999998</v>
      </c>
      <c r="J602" s="36">
        <v>1326.4305899999999</v>
      </c>
      <c r="K602" s="36">
        <v>526.05068000000006</v>
      </c>
      <c r="L602" s="36">
        <v>39.819749999999999</v>
      </c>
      <c r="M602" s="36">
        <v>171.36424199999999</v>
      </c>
      <c r="N602" s="38">
        <f>+M602-O602</f>
        <v>13.405132999999978</v>
      </c>
      <c r="O602" s="36">
        <v>157.95910900000001</v>
      </c>
      <c r="P602" s="39">
        <v>5</v>
      </c>
      <c r="Q602" s="39">
        <v>0</v>
      </c>
      <c r="R602" s="40">
        <f>SUM(P602:Q602)</f>
        <v>5</v>
      </c>
      <c r="S602" s="39"/>
      <c r="T602" s="41">
        <v>9888</v>
      </c>
    </row>
    <row r="603" spans="2:20" ht="15.6" x14ac:dyDescent="0.3">
      <c r="B603" s="33">
        <f t="shared" si="97"/>
        <v>10</v>
      </c>
      <c r="C603" s="60" t="s">
        <v>862</v>
      </c>
      <c r="D603" s="34" t="s">
        <v>863</v>
      </c>
      <c r="E603" s="35">
        <v>46022</v>
      </c>
      <c r="F603" s="36"/>
      <c r="G603" s="37">
        <v>2</v>
      </c>
      <c r="H603" s="38">
        <f t="shared" si="94"/>
        <v>0</v>
      </c>
      <c r="I603" s="36"/>
      <c r="J603" s="36"/>
      <c r="K603" s="36"/>
      <c r="L603" s="36"/>
      <c r="M603" s="36"/>
      <c r="N603" s="38">
        <f t="shared" si="95"/>
        <v>0</v>
      </c>
      <c r="O603" s="36"/>
      <c r="P603" s="39"/>
      <c r="Q603" s="39"/>
      <c r="R603" s="40">
        <f t="shared" si="96"/>
        <v>0</v>
      </c>
      <c r="S603" s="39"/>
      <c r="T603" s="41"/>
    </row>
    <row r="604" spans="2:20" ht="15.6" x14ac:dyDescent="0.3">
      <c r="B604" s="33">
        <f t="shared" si="97"/>
        <v>11</v>
      </c>
      <c r="C604" s="60" t="s">
        <v>864</v>
      </c>
      <c r="D604" s="34" t="s">
        <v>865</v>
      </c>
      <c r="E604" s="35">
        <v>45838</v>
      </c>
      <c r="F604" s="36">
        <v>1872.63093</v>
      </c>
      <c r="G604" s="37">
        <v>10</v>
      </c>
      <c r="H604" s="38">
        <f>+F604/G604</f>
        <v>187.263093</v>
      </c>
      <c r="I604" s="36">
        <v>2412.3498220000001</v>
      </c>
      <c r="J604" s="36">
        <v>6014.1218769999996</v>
      </c>
      <c r="K604" s="36">
        <v>1773.1661750000001</v>
      </c>
      <c r="L604" s="36">
        <v>337.24465099999998</v>
      </c>
      <c r="M604" s="36">
        <v>-66.274112000000002</v>
      </c>
      <c r="N604" s="38">
        <f>+M604-O604</f>
        <v>3.6734879999999919</v>
      </c>
      <c r="O604" s="36">
        <v>-69.947599999999994</v>
      </c>
      <c r="P604" s="39">
        <v>0</v>
      </c>
      <c r="Q604" s="39">
        <v>0</v>
      </c>
      <c r="R604" s="40">
        <f>SUM(P604:Q604)</f>
        <v>0</v>
      </c>
      <c r="S604" s="39"/>
      <c r="T604" s="41">
        <v>1629</v>
      </c>
    </row>
    <row r="605" spans="2:20" ht="15.6" x14ac:dyDescent="0.3">
      <c r="B605" s="33">
        <f t="shared" si="97"/>
        <v>12</v>
      </c>
      <c r="C605" s="60" t="s">
        <v>866</v>
      </c>
      <c r="D605" s="34" t="s">
        <v>867</v>
      </c>
      <c r="E605" s="35">
        <v>45838</v>
      </c>
      <c r="F605" s="36">
        <v>3386.25</v>
      </c>
      <c r="G605" s="37">
        <v>10</v>
      </c>
      <c r="H605" s="38">
        <f t="shared" si="94"/>
        <v>338.625</v>
      </c>
      <c r="I605" s="36">
        <v>3090.1210000000001</v>
      </c>
      <c r="J605" s="36">
        <v>5352.5110000000004</v>
      </c>
      <c r="K605" s="36">
        <v>2003.923</v>
      </c>
      <c r="L605" s="36">
        <v>107.732</v>
      </c>
      <c r="M605" s="36">
        <v>65.277000000000001</v>
      </c>
      <c r="N605" s="38">
        <f t="shared" si="95"/>
        <v>-0.36899999999999977</v>
      </c>
      <c r="O605" s="36">
        <v>65.646000000000001</v>
      </c>
      <c r="P605" s="39">
        <v>0</v>
      </c>
      <c r="Q605" s="39">
        <v>0</v>
      </c>
      <c r="R605" s="40">
        <f t="shared" si="96"/>
        <v>0</v>
      </c>
      <c r="S605" s="39"/>
      <c r="T605" s="41">
        <v>10715</v>
      </c>
    </row>
    <row r="606" spans="2:20" ht="15.6" x14ac:dyDescent="0.3">
      <c r="B606" s="33">
        <f t="shared" si="97"/>
        <v>13</v>
      </c>
      <c r="C606" s="33" t="s">
        <v>868</v>
      </c>
      <c r="D606" s="34" t="s">
        <v>869</v>
      </c>
      <c r="E606" s="35">
        <v>45838</v>
      </c>
      <c r="F606" s="36">
        <v>2672.9776299999999</v>
      </c>
      <c r="G606" s="37">
        <v>10</v>
      </c>
      <c r="H606" s="38">
        <f>+F606/G606</f>
        <v>267.29776299999997</v>
      </c>
      <c r="I606" s="36">
        <v>1267.937285</v>
      </c>
      <c r="J606" s="36">
        <v>8297.2235170000004</v>
      </c>
      <c r="K606" s="36">
        <v>0</v>
      </c>
      <c r="L606" s="36">
        <v>958.01622899999995</v>
      </c>
      <c r="M606" s="36">
        <v>-1062.2480129999999</v>
      </c>
      <c r="N606" s="38">
        <f>+M606-O606</f>
        <v>8.2651130000001558</v>
      </c>
      <c r="O606" s="36">
        <v>-1070.5131260000001</v>
      </c>
      <c r="P606" s="39">
        <v>0</v>
      </c>
      <c r="Q606" s="39">
        <v>0</v>
      </c>
      <c r="R606" s="40">
        <f>SUM(P606:Q606)</f>
        <v>0</v>
      </c>
      <c r="S606" s="39"/>
      <c r="T606" s="41">
        <v>4329</v>
      </c>
    </row>
    <row r="607" spans="2:20" ht="15.6" x14ac:dyDescent="0.3">
      <c r="B607" s="33">
        <f t="shared" si="97"/>
        <v>14</v>
      </c>
      <c r="C607" s="33" t="s">
        <v>870</v>
      </c>
      <c r="D607" s="34" t="s">
        <v>871</v>
      </c>
      <c r="E607" s="35">
        <v>45838</v>
      </c>
      <c r="F607" s="36">
        <v>5453.9066000000003</v>
      </c>
      <c r="G607" s="37">
        <v>10</v>
      </c>
      <c r="H607" s="38">
        <f t="shared" si="94"/>
        <v>545.39066000000003</v>
      </c>
      <c r="I607" s="36">
        <v>37933.701999999997</v>
      </c>
      <c r="J607" s="36">
        <v>46688.561999999998</v>
      </c>
      <c r="K607" s="36">
        <v>0</v>
      </c>
      <c r="L607" s="36">
        <v>0</v>
      </c>
      <c r="M607" s="36">
        <v>4713.9830000000002</v>
      </c>
      <c r="N607" s="38">
        <f t="shared" si="95"/>
        <v>789.99800000000005</v>
      </c>
      <c r="O607" s="36">
        <v>3923.9850000000001</v>
      </c>
      <c r="P607" s="39">
        <v>0</v>
      </c>
      <c r="Q607" s="39">
        <v>0</v>
      </c>
      <c r="R607" s="40">
        <f t="shared" si="96"/>
        <v>0</v>
      </c>
      <c r="S607" s="39"/>
      <c r="T607" s="41">
        <v>13411</v>
      </c>
    </row>
    <row r="608" spans="2:20" ht="15.6" x14ac:dyDescent="0.3">
      <c r="B608" s="33">
        <f t="shared" si="97"/>
        <v>15</v>
      </c>
      <c r="C608" s="60" t="s">
        <v>872</v>
      </c>
      <c r="D608" s="34" t="s">
        <v>873</v>
      </c>
      <c r="E608" s="35">
        <v>46022</v>
      </c>
      <c r="F608" s="36"/>
      <c r="G608" s="37">
        <v>10</v>
      </c>
      <c r="H608" s="38">
        <f>+F608/G608</f>
        <v>0</v>
      </c>
      <c r="I608" s="36"/>
      <c r="J608" s="36"/>
      <c r="K608" s="36"/>
      <c r="L608" s="36"/>
      <c r="M608" s="36"/>
      <c r="N608" s="38">
        <f>+M608-O608</f>
        <v>0</v>
      </c>
      <c r="O608" s="36"/>
      <c r="P608" s="39"/>
      <c r="Q608" s="39"/>
      <c r="R608" s="40">
        <f>SUM(P608:Q608)</f>
        <v>0</v>
      </c>
      <c r="S608" s="39"/>
      <c r="T608" s="41"/>
    </row>
    <row r="609" spans="2:20" ht="15.6" x14ac:dyDescent="0.3">
      <c r="B609" s="33">
        <f t="shared" si="97"/>
        <v>16</v>
      </c>
      <c r="C609" s="60" t="s">
        <v>874</v>
      </c>
      <c r="D609" s="34" t="s">
        <v>875</v>
      </c>
      <c r="E609" s="35">
        <v>45838</v>
      </c>
      <c r="F609" s="36">
        <v>262.5</v>
      </c>
      <c r="G609" s="37">
        <v>1</v>
      </c>
      <c r="H609" s="38">
        <f t="shared" si="94"/>
        <v>262.5</v>
      </c>
      <c r="I609" s="36">
        <v>2276.433497</v>
      </c>
      <c r="J609" s="36">
        <v>2409.204866</v>
      </c>
      <c r="K609" s="36">
        <v>1342.9290370000001</v>
      </c>
      <c r="L609" s="36">
        <v>3.3070560000000002</v>
      </c>
      <c r="M609" s="36">
        <v>671.05192099999999</v>
      </c>
      <c r="N609" s="38">
        <f t="shared" si="95"/>
        <v>0</v>
      </c>
      <c r="O609" s="36">
        <v>671.05192099999999</v>
      </c>
      <c r="P609" s="39">
        <v>100</v>
      </c>
      <c r="Q609" s="39">
        <v>0</v>
      </c>
      <c r="R609" s="40">
        <f t="shared" si="96"/>
        <v>100</v>
      </c>
      <c r="S609" s="39"/>
      <c r="T609" s="41">
        <v>3570</v>
      </c>
    </row>
    <row r="610" spans="2:20" ht="15.6" x14ac:dyDescent="0.3">
      <c r="B610" s="71"/>
      <c r="C610" s="88"/>
      <c r="D610" s="28"/>
      <c r="E610" s="89"/>
      <c r="F610" s="66"/>
      <c r="G610" s="43"/>
      <c r="H610" s="67"/>
      <c r="I610" s="66"/>
      <c r="J610" s="66"/>
      <c r="K610" s="66"/>
      <c r="L610" s="66"/>
      <c r="M610" s="66"/>
      <c r="N610" s="67"/>
      <c r="O610" s="66"/>
      <c r="P610" s="68"/>
      <c r="Q610" s="68"/>
      <c r="R610" s="69"/>
      <c r="S610" s="68"/>
      <c r="T610" s="70"/>
    </row>
    <row r="611" spans="2:20" ht="18" x14ac:dyDescent="0.35">
      <c r="B611" s="71"/>
      <c r="C611" s="88"/>
      <c r="D611" s="56" t="s">
        <v>30</v>
      </c>
      <c r="E611" s="89"/>
      <c r="F611" s="66"/>
      <c r="G611" s="43"/>
      <c r="H611" s="67"/>
      <c r="I611" s="66"/>
      <c r="J611" s="66"/>
      <c r="K611" s="66"/>
      <c r="L611" s="66"/>
      <c r="M611" s="66"/>
      <c r="N611" s="67"/>
      <c r="O611" s="66"/>
      <c r="P611" s="68"/>
      <c r="Q611" s="68"/>
      <c r="R611" s="69"/>
      <c r="S611" s="68"/>
      <c r="T611" s="70"/>
    </row>
    <row r="612" spans="2:20" ht="15.6" x14ac:dyDescent="0.3">
      <c r="B612" s="33">
        <v>1</v>
      </c>
      <c r="C612" s="33" t="s">
        <v>876</v>
      </c>
      <c r="D612" s="34" t="s">
        <v>877</v>
      </c>
      <c r="E612" s="35">
        <v>45838</v>
      </c>
      <c r="F612" s="36">
        <v>1788.5101</v>
      </c>
      <c r="G612" s="37">
        <v>10</v>
      </c>
      <c r="H612" s="38">
        <f>+F612/G612</f>
        <v>178.85101</v>
      </c>
      <c r="I612" s="36">
        <v>-1057.230403</v>
      </c>
      <c r="J612" s="36">
        <v>141.77371099999999</v>
      </c>
      <c r="K612" s="36">
        <v>152.93786600000001</v>
      </c>
      <c r="L612" s="36">
        <v>65.030445</v>
      </c>
      <c r="M612" s="36">
        <v>-0.79197700000000004</v>
      </c>
      <c r="N612" s="38">
        <f>+M612-O612</f>
        <v>0</v>
      </c>
      <c r="O612" s="36">
        <v>-0.79197700000000004</v>
      </c>
      <c r="P612" s="39">
        <v>0</v>
      </c>
      <c r="Q612" s="39">
        <v>0</v>
      </c>
      <c r="R612" s="40">
        <f>SUM(P612:Q612)</f>
        <v>0</v>
      </c>
      <c r="S612" s="39"/>
      <c r="T612" s="41">
        <v>3101</v>
      </c>
    </row>
    <row r="613" spans="2:20" ht="15.6" x14ac:dyDescent="0.3">
      <c r="B613" s="71"/>
      <c r="C613" s="88"/>
      <c r="D613" s="28"/>
      <c r="E613" s="89"/>
      <c r="F613" s="66"/>
      <c r="G613" s="43"/>
      <c r="H613" s="67"/>
      <c r="I613" s="66"/>
      <c r="J613" s="66"/>
      <c r="K613" s="66"/>
      <c r="L613" s="66"/>
      <c r="M613" s="66"/>
      <c r="N613" s="67"/>
      <c r="O613" s="66"/>
      <c r="P613" s="68"/>
      <c r="Q613" s="68"/>
      <c r="R613" s="69"/>
      <c r="S613" s="68"/>
      <c r="T613" s="70"/>
    </row>
    <row r="614" spans="2:20" ht="15.6" x14ac:dyDescent="0.3">
      <c r="B614" s="47">
        <f>COUNT(B594:B613)</f>
        <v>17</v>
      </c>
      <c r="C614" s="47"/>
      <c r="D614" s="48"/>
      <c r="E614" s="48"/>
      <c r="F614" s="48">
        <f>SUM(F594:F613)</f>
        <v>21830.674423999997</v>
      </c>
      <c r="G614" s="49"/>
      <c r="H614" s="50">
        <f>SUM(H594:H613)</f>
        <v>3696.638414</v>
      </c>
      <c r="I614" s="48">
        <f>SUM(I594:I613)</f>
        <v>85796.574390000009</v>
      </c>
      <c r="J614" s="48">
        <f>SUM(J594:J613)</f>
        <v>139303.84286999999</v>
      </c>
      <c r="K614" s="48">
        <f>SUM(K594:K613)</f>
        <v>80822.252216999987</v>
      </c>
      <c r="L614" s="48">
        <f>SUM(L594:L613)</f>
        <v>3841.5163990000001</v>
      </c>
      <c r="M614" s="48">
        <f>SUM(M594:M613)</f>
        <v>12020.184332999999</v>
      </c>
      <c r="N614" s="51">
        <f>SUM(N594:N613)</f>
        <v>1548.182051</v>
      </c>
      <c r="O614" s="48">
        <f>SUM(O594:O613)</f>
        <v>10472.002281999999</v>
      </c>
      <c r="P614" s="52"/>
      <c r="Q614" s="52"/>
      <c r="R614" s="53"/>
      <c r="S614" s="52"/>
      <c r="T614" s="54">
        <f>SUM(T594:T613)</f>
        <v>76179</v>
      </c>
    </row>
    <row r="615" spans="2:20" ht="15.6" x14ac:dyDescent="0.3">
      <c r="B615" s="28"/>
      <c r="C615" s="28"/>
      <c r="D615" s="28"/>
      <c r="E615" s="28"/>
      <c r="F615" s="28"/>
      <c r="G615" s="43"/>
      <c r="H615" s="44"/>
      <c r="I615" s="30"/>
      <c r="J615" s="30"/>
      <c r="K615" s="30"/>
      <c r="L615" s="30"/>
      <c r="M615" s="30"/>
      <c r="N615" s="45"/>
      <c r="O615" s="30"/>
      <c r="P615" s="30"/>
      <c r="Q615" s="30"/>
      <c r="R615" s="45"/>
      <c r="S615" s="30"/>
      <c r="T615" s="30"/>
    </row>
    <row r="616" spans="2:20" ht="15.6" x14ac:dyDescent="0.3">
      <c r="B616" s="28"/>
      <c r="C616" s="28"/>
      <c r="D616" s="28"/>
      <c r="E616" s="28"/>
      <c r="F616" s="28"/>
      <c r="G616" s="43"/>
      <c r="H616" s="44"/>
      <c r="I616" s="30"/>
      <c r="J616" s="30"/>
      <c r="K616" s="30"/>
      <c r="L616" s="30"/>
      <c r="M616" s="30"/>
      <c r="N616" s="45"/>
      <c r="O616" s="30"/>
      <c r="P616" s="30"/>
      <c r="Q616" s="30"/>
      <c r="R616" s="45"/>
      <c r="S616" s="30"/>
      <c r="T616" s="30"/>
    </row>
    <row r="617" spans="2:20" ht="18" x14ac:dyDescent="0.35">
      <c r="B617" s="28"/>
      <c r="C617" s="32">
        <v>28</v>
      </c>
      <c r="D617" s="32" t="s">
        <v>878</v>
      </c>
      <c r="E617" s="61"/>
      <c r="F617" s="61"/>
      <c r="G617" s="43"/>
      <c r="H617" s="44"/>
      <c r="I617" s="30"/>
      <c r="J617" s="30"/>
      <c r="K617" s="30"/>
      <c r="L617" s="30"/>
      <c r="M617" s="30"/>
      <c r="N617" s="45"/>
      <c r="O617" s="30"/>
      <c r="P617" s="30"/>
      <c r="Q617" s="30"/>
      <c r="R617" s="45"/>
      <c r="S617" s="30"/>
      <c r="T617" s="30"/>
    </row>
    <row r="618" spans="2:20" ht="15.6" x14ac:dyDescent="0.3">
      <c r="B618" s="28"/>
      <c r="C618" s="28"/>
      <c r="D618" s="28"/>
      <c r="E618" s="28"/>
      <c r="F618" s="28"/>
      <c r="G618" s="43"/>
      <c r="H618" s="44"/>
      <c r="I618" s="30"/>
      <c r="J618" s="30"/>
      <c r="K618" s="30"/>
      <c r="L618" s="30"/>
      <c r="M618" s="30"/>
      <c r="N618" s="45"/>
      <c r="O618" s="30"/>
      <c r="P618" s="30"/>
      <c r="Q618" s="30"/>
      <c r="R618" s="45"/>
      <c r="S618" s="30"/>
      <c r="T618" s="30"/>
    </row>
    <row r="619" spans="2:20" ht="15.6" x14ac:dyDescent="0.3">
      <c r="B619" s="60">
        <v>1</v>
      </c>
      <c r="C619" s="60" t="s">
        <v>879</v>
      </c>
      <c r="D619" s="34" t="s">
        <v>880</v>
      </c>
      <c r="E619" s="35">
        <v>45838</v>
      </c>
      <c r="F619" s="36">
        <v>4216.9674699999996</v>
      </c>
      <c r="G619" s="37">
        <v>1</v>
      </c>
      <c r="H619" s="38">
        <f t="shared" ref="H619:H623" si="98">+F619/G619</f>
        <v>4216.9674699999996</v>
      </c>
      <c r="I619" s="36">
        <v>54892.905916000003</v>
      </c>
      <c r="J619" s="36">
        <v>66291.797015000004</v>
      </c>
      <c r="K619" s="36">
        <v>4952.9939370000002</v>
      </c>
      <c r="L619" s="36">
        <v>529.72815900000001</v>
      </c>
      <c r="M619" s="36">
        <v>28389.439104000001</v>
      </c>
      <c r="N619" s="38">
        <f t="shared" ref="N619:N623" si="99">+M619-O619</f>
        <v>4614.0947450000021</v>
      </c>
      <c r="O619" s="36">
        <v>23775.344358999999</v>
      </c>
      <c r="P619" s="39">
        <v>100</v>
      </c>
      <c r="Q619" s="39">
        <v>0</v>
      </c>
      <c r="R619" s="40">
        <f t="shared" ref="R619:R623" si="100">SUM(P619:Q619)</f>
        <v>100</v>
      </c>
      <c r="S619" s="39"/>
      <c r="T619" s="41">
        <v>6933</v>
      </c>
    </row>
    <row r="620" spans="2:20" ht="15.6" x14ac:dyDescent="0.3">
      <c r="B620" s="60">
        <f t="shared" ref="B620:B623" si="101">+B619+1</f>
        <v>2</v>
      </c>
      <c r="C620" s="60" t="s">
        <v>881</v>
      </c>
      <c r="D620" s="34" t="s">
        <v>882</v>
      </c>
      <c r="E620" s="35">
        <v>46022</v>
      </c>
      <c r="F620" s="36">
        <v>5990.8422399999999</v>
      </c>
      <c r="G620" s="37">
        <v>10</v>
      </c>
      <c r="H620" s="38">
        <f>+F620/G620</f>
        <v>599.08422399999995</v>
      </c>
      <c r="I620" s="36"/>
      <c r="J620" s="36"/>
      <c r="K620" s="36"/>
      <c r="L620" s="36"/>
      <c r="M620" s="36">
        <v>3109.3110000000001</v>
      </c>
      <c r="N620" s="38">
        <f>+M620-O620</f>
        <v>214.47600000000011</v>
      </c>
      <c r="O620" s="36">
        <v>2894.835</v>
      </c>
      <c r="P620" s="39">
        <v>0</v>
      </c>
      <c r="Q620" s="39">
        <v>0</v>
      </c>
      <c r="R620" s="40">
        <f>SUM(P620:Q620)</f>
        <v>0</v>
      </c>
      <c r="S620" s="39"/>
      <c r="T620" s="41"/>
    </row>
    <row r="621" spans="2:20" ht="15.6" x14ac:dyDescent="0.3">
      <c r="B621" s="60">
        <f t="shared" si="101"/>
        <v>3</v>
      </c>
      <c r="C621" s="60" t="s">
        <v>883</v>
      </c>
      <c r="D621" s="34" t="s">
        <v>884</v>
      </c>
      <c r="E621" s="35">
        <v>46022</v>
      </c>
      <c r="F621" s="36">
        <v>13352.99375</v>
      </c>
      <c r="G621" s="37">
        <v>10</v>
      </c>
      <c r="H621" s="38">
        <f t="shared" si="98"/>
        <v>1335.2993750000001</v>
      </c>
      <c r="I621" s="36"/>
      <c r="J621" s="36"/>
      <c r="K621" s="36"/>
      <c r="L621" s="36"/>
      <c r="M621" s="36">
        <v>39738.222999999998</v>
      </c>
      <c r="N621" s="38">
        <f t="shared" si="99"/>
        <v>15967.687999999998</v>
      </c>
      <c r="O621" s="36">
        <v>23770.535</v>
      </c>
      <c r="P621" s="39">
        <f>22.5+42.5+45+40</f>
        <v>150</v>
      </c>
      <c r="Q621" s="39">
        <v>0</v>
      </c>
      <c r="R621" s="40">
        <f t="shared" si="100"/>
        <v>150</v>
      </c>
      <c r="S621" s="39"/>
      <c r="T621" s="41"/>
    </row>
    <row r="622" spans="2:20" ht="15.6" x14ac:dyDescent="0.3">
      <c r="B622" s="60">
        <f t="shared" si="101"/>
        <v>4</v>
      </c>
      <c r="C622" s="60" t="s">
        <v>885</v>
      </c>
      <c r="D622" s="34" t="s">
        <v>886</v>
      </c>
      <c r="E622" s="35">
        <v>46022</v>
      </c>
      <c r="F622" s="36">
        <v>21000</v>
      </c>
      <c r="G622" s="37">
        <v>10</v>
      </c>
      <c r="H622" s="38">
        <f t="shared" si="98"/>
        <v>2100</v>
      </c>
      <c r="I622" s="36"/>
      <c r="J622" s="36"/>
      <c r="K622" s="36"/>
      <c r="L622" s="36"/>
      <c r="M622" s="36"/>
      <c r="N622" s="38">
        <f t="shared" si="99"/>
        <v>0</v>
      </c>
      <c r="O622" s="36"/>
      <c r="P622" s="39">
        <f>35</f>
        <v>35</v>
      </c>
      <c r="Q622" s="39"/>
      <c r="R622" s="40">
        <f t="shared" si="100"/>
        <v>35</v>
      </c>
      <c r="S622" s="39"/>
      <c r="T622" s="41"/>
    </row>
    <row r="623" spans="2:20" ht="15.6" x14ac:dyDescent="0.3">
      <c r="B623" s="60">
        <f t="shared" si="101"/>
        <v>5</v>
      </c>
      <c r="C623" s="60" t="s">
        <v>887</v>
      </c>
      <c r="D623" s="34" t="s">
        <v>888</v>
      </c>
      <c r="E623" s="35">
        <v>46022</v>
      </c>
      <c r="F623" s="36">
        <v>14390.232620000001</v>
      </c>
      <c r="G623" s="37">
        <v>10</v>
      </c>
      <c r="H623" s="38">
        <f t="shared" si="98"/>
        <v>1439.0232620000002</v>
      </c>
      <c r="I623" s="36"/>
      <c r="J623" s="36"/>
      <c r="K623" s="36"/>
      <c r="L623" s="36"/>
      <c r="M623" s="36">
        <v>120855.67999999999</v>
      </c>
      <c r="N623" s="38">
        <f t="shared" si="99"/>
        <v>47291.412999999986</v>
      </c>
      <c r="O623" s="36">
        <v>73564.267000000007</v>
      </c>
      <c r="P623" s="39">
        <f>70+120+95+85</f>
        <v>370</v>
      </c>
      <c r="Q623" s="39">
        <v>0</v>
      </c>
      <c r="R623" s="40">
        <f t="shared" si="100"/>
        <v>370</v>
      </c>
      <c r="S623" s="39"/>
      <c r="T623" s="41"/>
    </row>
    <row r="624" spans="2:20" ht="15.6" x14ac:dyDescent="0.3">
      <c r="B624" s="28"/>
      <c r="C624" s="28"/>
      <c r="D624" s="28"/>
      <c r="E624" s="28"/>
      <c r="F624" s="28"/>
      <c r="G624" s="43"/>
      <c r="H624" s="44"/>
      <c r="I624" s="30"/>
      <c r="J624" s="30"/>
      <c r="K624" s="30"/>
      <c r="L624" s="30"/>
      <c r="M624" s="30"/>
      <c r="N624" s="45"/>
      <c r="O624" s="30"/>
      <c r="P624" s="30"/>
      <c r="Q624" s="30"/>
      <c r="R624" s="45"/>
      <c r="S624" s="30"/>
      <c r="T624" s="30"/>
    </row>
    <row r="625" spans="2:20" ht="15.6" x14ac:dyDescent="0.3">
      <c r="B625" s="47">
        <f>COUNT(B619:B624)</f>
        <v>5</v>
      </c>
      <c r="C625" s="47"/>
      <c r="D625" s="48"/>
      <c r="E625" s="48"/>
      <c r="F625" s="48">
        <f>SUM(F619:F624)</f>
        <v>58951.036079999998</v>
      </c>
      <c r="G625" s="49"/>
      <c r="H625" s="50">
        <f>SUM(H619:H624)</f>
        <v>9690.3743310000009</v>
      </c>
      <c r="I625" s="48">
        <f>SUM(I619:I624)</f>
        <v>54892.905916000003</v>
      </c>
      <c r="J625" s="48">
        <f>SUM(J619:J624)</f>
        <v>66291.797015000004</v>
      </c>
      <c r="K625" s="48">
        <f>SUM(K619:K624)</f>
        <v>4952.9939370000002</v>
      </c>
      <c r="L625" s="48">
        <f>SUM(L619:L624)</f>
        <v>529.72815900000001</v>
      </c>
      <c r="M625" s="48">
        <f>SUM(M619:M624)</f>
        <v>192092.653104</v>
      </c>
      <c r="N625" s="51">
        <f>SUM(N619:N624)</f>
        <v>68087.671744999985</v>
      </c>
      <c r="O625" s="48">
        <f>SUM(O619:O624)</f>
        <v>124004.981359</v>
      </c>
      <c r="P625" s="52"/>
      <c r="Q625" s="52"/>
      <c r="R625" s="53"/>
      <c r="S625" s="52"/>
      <c r="T625" s="54">
        <f>SUM(T619:T624)</f>
        <v>6933</v>
      </c>
    </row>
    <row r="626" spans="2:20" ht="15.6" x14ac:dyDescent="0.3">
      <c r="B626" s="28"/>
      <c r="C626" s="28"/>
      <c r="D626" s="28"/>
      <c r="E626" s="28"/>
      <c r="F626" s="28"/>
      <c r="G626" s="43"/>
      <c r="H626" s="44"/>
      <c r="I626" s="30"/>
      <c r="J626" s="30"/>
      <c r="K626" s="30"/>
      <c r="L626" s="30"/>
      <c r="M626" s="30"/>
      <c r="N626" s="45"/>
      <c r="O626" s="30"/>
      <c r="P626" s="30"/>
      <c r="Q626" s="30"/>
      <c r="R626" s="45"/>
      <c r="S626" s="30"/>
      <c r="T626" s="30"/>
    </row>
    <row r="627" spans="2:20" ht="15.6" x14ac:dyDescent="0.3">
      <c r="B627" s="28"/>
      <c r="C627" s="28"/>
      <c r="D627" s="28"/>
      <c r="E627" s="28"/>
      <c r="F627" s="28"/>
      <c r="G627" s="43"/>
      <c r="H627" s="44"/>
      <c r="I627" s="30"/>
      <c r="J627" s="30"/>
      <c r="K627" s="30"/>
      <c r="L627" s="30"/>
      <c r="M627" s="30"/>
      <c r="N627" s="45"/>
      <c r="O627" s="30"/>
      <c r="P627" s="30"/>
      <c r="Q627" s="30"/>
      <c r="R627" s="45"/>
      <c r="S627" s="30"/>
      <c r="T627" s="30"/>
    </row>
    <row r="628" spans="2:20" ht="18" x14ac:dyDescent="0.35">
      <c r="B628" s="28"/>
      <c r="C628" s="32">
        <v>29</v>
      </c>
      <c r="D628" s="32" t="s">
        <v>889</v>
      </c>
      <c r="E628" s="61"/>
      <c r="F628" s="61"/>
      <c r="G628" s="43"/>
      <c r="H628" s="44"/>
      <c r="I628" s="30"/>
      <c r="J628" s="30"/>
      <c r="K628" s="30"/>
      <c r="L628" s="30"/>
      <c r="M628" s="30"/>
      <c r="N628" s="45"/>
      <c r="O628" s="30"/>
      <c r="P628" s="30"/>
      <c r="Q628" s="30"/>
      <c r="R628" s="45"/>
      <c r="S628" s="30"/>
      <c r="T628" s="30"/>
    </row>
    <row r="629" spans="2:20" ht="15.6" x14ac:dyDescent="0.3">
      <c r="B629" s="28"/>
      <c r="C629" s="28"/>
      <c r="D629" s="28"/>
      <c r="E629" s="28"/>
      <c r="F629" s="28"/>
      <c r="G629" s="43"/>
      <c r="H629" s="44"/>
      <c r="I629" s="30"/>
      <c r="J629" s="30"/>
      <c r="K629" s="30"/>
      <c r="L629" s="30"/>
      <c r="M629" s="30"/>
      <c r="N629" s="45"/>
      <c r="O629" s="30"/>
      <c r="P629" s="30"/>
      <c r="Q629" s="30"/>
      <c r="R629" s="45"/>
      <c r="S629" s="30"/>
      <c r="T629" s="30"/>
    </row>
    <row r="630" spans="2:20" ht="15.6" x14ac:dyDescent="0.3">
      <c r="B630" s="33">
        <v>1</v>
      </c>
      <c r="C630" s="33" t="s">
        <v>890</v>
      </c>
      <c r="D630" s="34" t="s">
        <v>891</v>
      </c>
      <c r="E630" s="35">
        <v>46022</v>
      </c>
      <c r="F630" s="36"/>
      <c r="G630" s="37">
        <v>10</v>
      </c>
      <c r="H630" s="38">
        <f t="shared" ref="H630:H643" si="102">+F630/G630</f>
        <v>0</v>
      </c>
      <c r="I630" s="36"/>
      <c r="J630" s="36"/>
      <c r="K630" s="36"/>
      <c r="L630" s="36"/>
      <c r="M630" s="36"/>
      <c r="N630" s="38">
        <f t="shared" ref="N630:N643" si="103">+M630-O630</f>
        <v>0</v>
      </c>
      <c r="O630" s="36"/>
      <c r="P630" s="39"/>
      <c r="Q630" s="39"/>
      <c r="R630" s="40">
        <f t="shared" ref="R630:R643" si="104">SUM(P630:Q630)</f>
        <v>0</v>
      </c>
      <c r="S630" s="39"/>
      <c r="T630" s="41"/>
    </row>
    <row r="631" spans="2:20" ht="15.6" x14ac:dyDescent="0.3">
      <c r="B631" s="33">
        <f>+B630+1</f>
        <v>2</v>
      </c>
      <c r="C631" s="33" t="s">
        <v>892</v>
      </c>
      <c r="D631" s="34" t="s">
        <v>893</v>
      </c>
      <c r="E631" s="35">
        <v>46022</v>
      </c>
      <c r="F631" s="36">
        <v>2800</v>
      </c>
      <c r="G631" s="37">
        <v>10</v>
      </c>
      <c r="H631" s="38">
        <f t="shared" si="102"/>
        <v>280</v>
      </c>
      <c r="I631" s="36"/>
      <c r="J631" s="36"/>
      <c r="K631" s="36"/>
      <c r="L631" s="36"/>
      <c r="M631" s="36"/>
      <c r="N631" s="38">
        <f t="shared" si="103"/>
        <v>0</v>
      </c>
      <c r="O631" s="36"/>
      <c r="P631" s="39">
        <f>20</f>
        <v>20</v>
      </c>
      <c r="Q631" s="39"/>
      <c r="R631" s="40">
        <f t="shared" si="104"/>
        <v>20</v>
      </c>
      <c r="S631" s="39"/>
      <c r="T631" s="41"/>
    </row>
    <row r="632" spans="2:20" ht="15.6" x14ac:dyDescent="0.3">
      <c r="B632" s="33">
        <f>+B631+1</f>
        <v>3</v>
      </c>
      <c r="C632" s="33" t="s">
        <v>894</v>
      </c>
      <c r="D632" s="34" t="s">
        <v>895</v>
      </c>
      <c r="E632" s="35">
        <v>45838</v>
      </c>
      <c r="F632" s="36">
        <v>265</v>
      </c>
      <c r="G632" s="37">
        <v>3</v>
      </c>
      <c r="H632" s="38">
        <f t="shared" si="102"/>
        <v>88.333333333333329</v>
      </c>
      <c r="I632" s="36">
        <v>4661.9641689999999</v>
      </c>
      <c r="J632" s="36">
        <v>8158.530068</v>
      </c>
      <c r="K632" s="36">
        <v>5837.4661690000003</v>
      </c>
      <c r="L632" s="36">
        <v>127.67671199999999</v>
      </c>
      <c r="M632" s="36">
        <v>720.53954499999998</v>
      </c>
      <c r="N632" s="38">
        <f t="shared" si="103"/>
        <v>273.39218899999997</v>
      </c>
      <c r="O632" s="36">
        <v>447.147356</v>
      </c>
      <c r="P632" s="39">
        <v>0</v>
      </c>
      <c r="Q632" s="39">
        <v>0</v>
      </c>
      <c r="R632" s="40">
        <f t="shared" si="104"/>
        <v>0</v>
      </c>
      <c r="S632" s="39"/>
      <c r="T632" s="41">
        <v>7114</v>
      </c>
    </row>
    <row r="633" spans="2:20" ht="15.6" x14ac:dyDescent="0.3">
      <c r="B633" s="33">
        <f>+B632+1</f>
        <v>4</v>
      </c>
      <c r="C633" s="33" t="s">
        <v>896</v>
      </c>
      <c r="D633" s="34" t="s">
        <v>897</v>
      </c>
      <c r="E633" s="35">
        <v>45838</v>
      </c>
      <c r="F633" s="36">
        <v>2284.6120000000001</v>
      </c>
      <c r="G633" s="37">
        <v>10</v>
      </c>
      <c r="H633" s="38">
        <f t="shared" si="102"/>
        <v>228.46120000000002</v>
      </c>
      <c r="I633" s="36">
        <v>10867.578681000001</v>
      </c>
      <c r="J633" s="36">
        <v>18439.450481</v>
      </c>
      <c r="K633" s="36">
        <v>13153.521857</v>
      </c>
      <c r="L633" s="36">
        <v>329.67294199999998</v>
      </c>
      <c r="M633" s="36">
        <v>1354.50983</v>
      </c>
      <c r="N633" s="38">
        <f t="shared" si="103"/>
        <v>462.47089599999993</v>
      </c>
      <c r="O633" s="36">
        <v>892.03893400000004</v>
      </c>
      <c r="P633" s="39">
        <v>35</v>
      </c>
      <c r="Q633" s="39">
        <v>0</v>
      </c>
      <c r="R633" s="40">
        <f t="shared" si="104"/>
        <v>35</v>
      </c>
      <c r="S633" s="39"/>
      <c r="T633" s="41">
        <v>16456</v>
      </c>
    </row>
    <row r="634" spans="2:20" ht="15.6" x14ac:dyDescent="0.3">
      <c r="B634" s="33">
        <f>+B633+1</f>
        <v>5</v>
      </c>
      <c r="C634" s="33" t="s">
        <v>898</v>
      </c>
      <c r="D634" s="34" t="s">
        <v>899</v>
      </c>
      <c r="E634" s="35">
        <v>45838</v>
      </c>
      <c r="F634" s="36">
        <v>434.69051000000002</v>
      </c>
      <c r="G634" s="37">
        <v>10</v>
      </c>
      <c r="H634" s="38">
        <f t="shared" si="102"/>
        <v>43.469051</v>
      </c>
      <c r="I634" s="36">
        <v>9365.3090570000004</v>
      </c>
      <c r="J634" s="36">
        <v>15677.627229</v>
      </c>
      <c r="K634" s="36">
        <v>13857.966939</v>
      </c>
      <c r="L634" s="36">
        <v>452.81772999999998</v>
      </c>
      <c r="M634" s="36">
        <v>896.49969199999998</v>
      </c>
      <c r="N634" s="38">
        <f t="shared" si="103"/>
        <v>368.25685499999997</v>
      </c>
      <c r="O634" s="36">
        <v>528.24283700000001</v>
      </c>
      <c r="P634" s="39">
        <v>40</v>
      </c>
      <c r="Q634" s="39">
        <v>0</v>
      </c>
      <c r="R634" s="40">
        <f t="shared" si="104"/>
        <v>40</v>
      </c>
      <c r="S634" s="39"/>
      <c r="T634" s="41">
        <v>4739</v>
      </c>
    </row>
    <row r="635" spans="2:20" ht="15.6" x14ac:dyDescent="0.3">
      <c r="B635" s="33">
        <f t="shared" ref="B635:B643" si="105">+B634+1</f>
        <v>6</v>
      </c>
      <c r="C635" s="33" t="s">
        <v>900</v>
      </c>
      <c r="D635" s="34" t="s">
        <v>901</v>
      </c>
      <c r="E635" s="35">
        <v>46022</v>
      </c>
      <c r="F635" s="36">
        <v>3184.6727799999999</v>
      </c>
      <c r="G635" s="37">
        <v>10</v>
      </c>
      <c r="H635" s="38">
        <f t="shared" si="102"/>
        <v>318.46727799999996</v>
      </c>
      <c r="I635" s="36"/>
      <c r="J635" s="36"/>
      <c r="K635" s="36"/>
      <c r="L635" s="36"/>
      <c r="M635" s="36"/>
      <c r="N635" s="38">
        <f t="shared" si="103"/>
        <v>0</v>
      </c>
      <c r="O635" s="36"/>
      <c r="P635" s="39">
        <f>50</f>
        <v>50</v>
      </c>
      <c r="Q635" s="39"/>
      <c r="R635" s="40">
        <f t="shared" si="104"/>
        <v>50</v>
      </c>
      <c r="S635" s="39"/>
      <c r="T635" s="41"/>
    </row>
    <row r="636" spans="2:20" ht="15.6" x14ac:dyDescent="0.3">
      <c r="B636" s="33">
        <f t="shared" si="105"/>
        <v>7</v>
      </c>
      <c r="C636" s="33" t="s">
        <v>902</v>
      </c>
      <c r="D636" s="34" t="s">
        <v>903</v>
      </c>
      <c r="E636" s="35">
        <v>46022</v>
      </c>
      <c r="F636" s="36">
        <v>1170.5450800000001</v>
      </c>
      <c r="G636" s="37">
        <v>10</v>
      </c>
      <c r="H636" s="38">
        <f t="shared" si="102"/>
        <v>117.05450800000001</v>
      </c>
      <c r="I636" s="36"/>
      <c r="J636" s="36"/>
      <c r="K636" s="36"/>
      <c r="L636" s="36"/>
      <c r="M636" s="36"/>
      <c r="N636" s="38">
        <f t="shared" si="103"/>
        <v>0</v>
      </c>
      <c r="O636" s="36"/>
      <c r="P636" s="39">
        <f>100+50</f>
        <v>150</v>
      </c>
      <c r="Q636" s="39"/>
      <c r="R636" s="40">
        <f t="shared" si="104"/>
        <v>150</v>
      </c>
      <c r="S636" s="39"/>
      <c r="T636" s="41"/>
    </row>
    <row r="637" spans="2:20" ht="15.6" x14ac:dyDescent="0.3">
      <c r="B637" s="33">
        <f t="shared" si="105"/>
        <v>8</v>
      </c>
      <c r="C637" s="33" t="s">
        <v>904</v>
      </c>
      <c r="D637" s="34" t="s">
        <v>905</v>
      </c>
      <c r="E637" s="35">
        <v>46022</v>
      </c>
      <c r="F637" s="36"/>
      <c r="G637" s="37">
        <v>10</v>
      </c>
      <c r="H637" s="38">
        <f t="shared" si="102"/>
        <v>0</v>
      </c>
      <c r="I637" s="36"/>
      <c r="J637" s="36"/>
      <c r="K637" s="36"/>
      <c r="L637" s="36"/>
      <c r="M637" s="36"/>
      <c r="N637" s="38">
        <f t="shared" si="103"/>
        <v>0</v>
      </c>
      <c r="O637" s="36"/>
      <c r="P637" s="39"/>
      <c r="Q637" s="39"/>
      <c r="R637" s="40">
        <f t="shared" si="104"/>
        <v>0</v>
      </c>
      <c r="S637" s="39"/>
      <c r="T637" s="41"/>
    </row>
    <row r="638" spans="2:20" ht="15.6" x14ac:dyDescent="0.3">
      <c r="B638" s="33">
        <f t="shared" si="105"/>
        <v>9</v>
      </c>
      <c r="C638" s="33" t="s">
        <v>906</v>
      </c>
      <c r="D638" s="34" t="s">
        <v>907</v>
      </c>
      <c r="E638" s="35">
        <v>46022</v>
      </c>
      <c r="F638" s="36">
        <v>96.447599999999994</v>
      </c>
      <c r="G638" s="37">
        <v>10</v>
      </c>
      <c r="H638" s="38">
        <f t="shared" si="102"/>
        <v>9.6447599999999998</v>
      </c>
      <c r="I638" s="36"/>
      <c r="J638" s="36"/>
      <c r="K638" s="36"/>
      <c r="L638" s="36"/>
      <c r="M638" s="36"/>
      <c r="N638" s="38">
        <f t="shared" si="103"/>
        <v>0</v>
      </c>
      <c r="O638" s="36"/>
      <c r="P638" s="39">
        <f>500</f>
        <v>500</v>
      </c>
      <c r="Q638" s="39"/>
      <c r="R638" s="40">
        <f t="shared" si="104"/>
        <v>500</v>
      </c>
      <c r="S638" s="39"/>
      <c r="T638" s="41"/>
    </row>
    <row r="639" spans="2:20" ht="15.6" x14ac:dyDescent="0.3">
      <c r="B639" s="33">
        <f t="shared" si="105"/>
        <v>10</v>
      </c>
      <c r="C639" s="33" t="s">
        <v>908</v>
      </c>
      <c r="D639" s="34" t="s">
        <v>909</v>
      </c>
      <c r="E639" s="35">
        <v>45838</v>
      </c>
      <c r="F639" s="36">
        <v>856.74766999999997</v>
      </c>
      <c r="G639" s="37">
        <v>10</v>
      </c>
      <c r="H639" s="38">
        <f t="shared" si="102"/>
        <v>85.674767000000003</v>
      </c>
      <c r="I639" s="36">
        <v>2323.0500000000002</v>
      </c>
      <c r="J639" s="36">
        <v>4009.9679999999998</v>
      </c>
      <c r="K639" s="36">
        <v>4322.4709999999995</v>
      </c>
      <c r="L639" s="36">
        <v>60.21</v>
      </c>
      <c r="M639" s="36">
        <v>340.21199999999999</v>
      </c>
      <c r="N639" s="38">
        <f t="shared" si="103"/>
        <v>131.84099999999998</v>
      </c>
      <c r="O639" s="36">
        <v>208.37100000000001</v>
      </c>
      <c r="P639" s="39">
        <v>0</v>
      </c>
      <c r="Q639" s="39">
        <v>15</v>
      </c>
      <c r="R639" s="40">
        <f t="shared" si="104"/>
        <v>15</v>
      </c>
      <c r="S639" s="39"/>
      <c r="T639" s="41">
        <v>5929</v>
      </c>
    </row>
    <row r="640" spans="2:20" ht="15.6" x14ac:dyDescent="0.3">
      <c r="B640" s="33">
        <f t="shared" si="105"/>
        <v>11</v>
      </c>
      <c r="C640" s="60" t="s">
        <v>910</v>
      </c>
      <c r="D640" s="34" t="s">
        <v>911</v>
      </c>
      <c r="E640" s="35">
        <v>45838</v>
      </c>
      <c r="F640" s="36">
        <v>930.40367000000003</v>
      </c>
      <c r="G640" s="37">
        <v>10</v>
      </c>
      <c r="H640" s="38">
        <f t="shared" si="102"/>
        <v>93.040367000000003</v>
      </c>
      <c r="I640" s="36"/>
      <c r="J640" s="36"/>
      <c r="K640" s="36"/>
      <c r="L640" s="36"/>
      <c r="M640" s="36">
        <v>-492.18599999999998</v>
      </c>
      <c r="N640" s="38">
        <f t="shared" si="103"/>
        <v>92.272999999999968</v>
      </c>
      <c r="O640" s="36">
        <v>-584.45899999999995</v>
      </c>
      <c r="P640" s="39">
        <v>0</v>
      </c>
      <c r="Q640" s="39">
        <v>0</v>
      </c>
      <c r="R640" s="40">
        <f t="shared" si="104"/>
        <v>0</v>
      </c>
      <c r="S640" s="39">
        <v>21.495999999999999</v>
      </c>
      <c r="T640" s="41"/>
    </row>
    <row r="641" spans="2:20" ht="15.6" x14ac:dyDescent="0.3">
      <c r="B641" s="33">
        <f t="shared" si="105"/>
        <v>12</v>
      </c>
      <c r="C641" s="33" t="s">
        <v>912</v>
      </c>
      <c r="D641" s="34" t="s">
        <v>913</v>
      </c>
      <c r="E641" s="35">
        <v>45838</v>
      </c>
      <c r="F641" s="36">
        <v>458.11099999999999</v>
      </c>
      <c r="G641" s="37">
        <v>10</v>
      </c>
      <c r="H641" s="38">
        <f t="shared" si="102"/>
        <v>45.811099999999996</v>
      </c>
      <c r="I641" s="36">
        <v>3805.364</v>
      </c>
      <c r="J641" s="36">
        <v>6568.9759999999997</v>
      </c>
      <c r="K641" s="36">
        <v>9914.3179999999993</v>
      </c>
      <c r="L641" s="36">
        <v>102.345</v>
      </c>
      <c r="M641" s="36">
        <v>1132.1210000000001</v>
      </c>
      <c r="N641" s="38">
        <f t="shared" si="103"/>
        <v>394.5870000000001</v>
      </c>
      <c r="O641" s="36">
        <v>737.53399999999999</v>
      </c>
      <c r="P641" s="39">
        <f>18+20</f>
        <v>38</v>
      </c>
      <c r="Q641" s="39">
        <v>0</v>
      </c>
      <c r="R641" s="40">
        <f t="shared" si="104"/>
        <v>38</v>
      </c>
      <c r="S641" s="39"/>
      <c r="T641" s="41">
        <v>1478</v>
      </c>
    </row>
    <row r="642" spans="2:20" ht="15.6" x14ac:dyDescent="0.3">
      <c r="B642" s="33">
        <f t="shared" si="105"/>
        <v>13</v>
      </c>
      <c r="C642" s="33" t="s">
        <v>914</v>
      </c>
      <c r="D642" s="34" t="s">
        <v>915</v>
      </c>
      <c r="E642" s="35">
        <v>45838</v>
      </c>
      <c r="F642" s="36">
        <v>121</v>
      </c>
      <c r="G642" s="37">
        <v>10</v>
      </c>
      <c r="H642" s="38">
        <f t="shared" si="102"/>
        <v>12.1</v>
      </c>
      <c r="I642" s="36">
        <v>695.779</v>
      </c>
      <c r="J642" s="36">
        <v>2548.4850000000001</v>
      </c>
      <c r="K642" s="36">
        <v>3779.518</v>
      </c>
      <c r="L642" s="36">
        <v>5.9029999999999996</v>
      </c>
      <c r="M642" s="36">
        <v>107.54</v>
      </c>
      <c r="N642" s="38">
        <f t="shared" si="103"/>
        <v>79.863</v>
      </c>
      <c r="O642" s="36">
        <v>27.677</v>
      </c>
      <c r="P642" s="39">
        <v>0</v>
      </c>
      <c r="Q642" s="39">
        <v>0</v>
      </c>
      <c r="R642" s="40">
        <f t="shared" si="104"/>
        <v>0</v>
      </c>
      <c r="S642" s="39"/>
      <c r="T642" s="41">
        <v>1546</v>
      </c>
    </row>
    <row r="643" spans="2:20" ht="15.6" x14ac:dyDescent="0.3">
      <c r="B643" s="33">
        <f t="shared" si="105"/>
        <v>14</v>
      </c>
      <c r="C643" s="33" t="s">
        <v>916</v>
      </c>
      <c r="D643" s="34" t="s">
        <v>917</v>
      </c>
      <c r="E643" s="35">
        <v>45838</v>
      </c>
      <c r="F643" s="36">
        <v>5114.9449999999997</v>
      </c>
      <c r="G643" s="37">
        <v>10</v>
      </c>
      <c r="H643" s="38">
        <f t="shared" si="102"/>
        <v>511.49449999999996</v>
      </c>
      <c r="I643" s="36">
        <v>30239.683000000001</v>
      </c>
      <c r="J643" s="36">
        <v>44675.62</v>
      </c>
      <c r="K643" s="36">
        <v>24773.371999999999</v>
      </c>
      <c r="L643" s="36">
        <v>2026.8679999999999</v>
      </c>
      <c r="M643" s="36">
        <v>726.31500000000005</v>
      </c>
      <c r="N643" s="38">
        <f t="shared" si="103"/>
        <v>292.27700000000004</v>
      </c>
      <c r="O643" s="36">
        <v>434.03800000000001</v>
      </c>
      <c r="P643" s="39">
        <v>0</v>
      </c>
      <c r="Q643" s="39">
        <v>15</v>
      </c>
      <c r="R643" s="40">
        <f t="shared" si="104"/>
        <v>15</v>
      </c>
      <c r="S643" s="39"/>
      <c r="T643" s="41">
        <v>21458</v>
      </c>
    </row>
    <row r="644" spans="2:20" ht="15.6" x14ac:dyDescent="0.3">
      <c r="B644" s="28"/>
      <c r="C644" s="28"/>
      <c r="D644" s="28"/>
      <c r="E644" s="28"/>
      <c r="F644" s="28"/>
      <c r="G644" s="43"/>
      <c r="H644" s="44"/>
      <c r="I644" s="30"/>
      <c r="J644" s="30"/>
      <c r="K644" s="30"/>
      <c r="L644" s="30"/>
      <c r="M644" s="30"/>
      <c r="N644" s="45"/>
      <c r="O644" s="30"/>
      <c r="P644" s="30"/>
      <c r="Q644" s="30"/>
      <c r="R644" s="45"/>
      <c r="S644" s="30"/>
      <c r="T644" s="30"/>
    </row>
    <row r="645" spans="2:20" ht="15.6" x14ac:dyDescent="0.3">
      <c r="B645" s="47">
        <f>COUNT(B630:B644)</f>
        <v>14</v>
      </c>
      <c r="C645" s="47"/>
      <c r="D645" s="48"/>
      <c r="E645" s="48"/>
      <c r="F645" s="48">
        <f>SUM(F630:F644)</f>
        <v>17717.175309999999</v>
      </c>
      <c r="G645" s="49"/>
      <c r="H645" s="50">
        <f t="shared" ref="H645:O645" si="106">SUM(H630:H644)</f>
        <v>1833.550864333333</v>
      </c>
      <c r="I645" s="48">
        <f t="shared" si="106"/>
        <v>61958.727907000008</v>
      </c>
      <c r="J645" s="48">
        <f t="shared" si="106"/>
        <v>100078.656778</v>
      </c>
      <c r="K645" s="48">
        <f t="shared" si="106"/>
        <v>75638.633965000001</v>
      </c>
      <c r="L645" s="48">
        <f t="shared" si="106"/>
        <v>3105.4933839999999</v>
      </c>
      <c r="M645" s="48">
        <f t="shared" si="106"/>
        <v>4785.5510670000003</v>
      </c>
      <c r="N645" s="51">
        <f t="shared" si="106"/>
        <v>2094.9609399999999</v>
      </c>
      <c r="O645" s="48">
        <f t="shared" si="106"/>
        <v>2690.5901270000004</v>
      </c>
      <c r="P645" s="52"/>
      <c r="Q645" s="52"/>
      <c r="R645" s="53"/>
      <c r="S645" s="52"/>
      <c r="T645" s="54">
        <f>SUM(T630:T644)</f>
        <v>58720</v>
      </c>
    </row>
    <row r="646" spans="2:20" ht="15.6" x14ac:dyDescent="0.3">
      <c r="B646" s="28"/>
      <c r="C646" s="28"/>
      <c r="D646" s="28"/>
      <c r="E646" s="28"/>
      <c r="F646" s="28"/>
      <c r="G646" s="43"/>
      <c r="H646" s="44"/>
      <c r="I646" s="30"/>
      <c r="J646" s="30"/>
      <c r="K646" s="30"/>
      <c r="L646" s="30"/>
      <c r="M646" s="30"/>
      <c r="N646" s="45"/>
      <c r="O646" s="30"/>
      <c r="P646" s="30"/>
      <c r="Q646" s="30"/>
      <c r="R646" s="45"/>
      <c r="S646" s="30"/>
      <c r="T646" s="30"/>
    </row>
    <row r="647" spans="2:20" ht="15.6" x14ac:dyDescent="0.3">
      <c r="B647" s="28"/>
      <c r="C647" s="28"/>
      <c r="D647" s="28"/>
      <c r="E647" s="28"/>
      <c r="F647" s="28"/>
      <c r="G647" s="43"/>
      <c r="H647" s="44"/>
      <c r="I647" s="30"/>
      <c r="J647" s="30"/>
      <c r="K647" s="30"/>
      <c r="L647" s="30"/>
      <c r="M647" s="30"/>
      <c r="N647" s="45"/>
      <c r="O647" s="30"/>
      <c r="P647" s="30"/>
      <c r="Q647" s="30"/>
      <c r="R647" s="45"/>
      <c r="S647" s="30"/>
      <c r="T647" s="30"/>
    </row>
    <row r="648" spans="2:20" ht="18" x14ac:dyDescent="0.35">
      <c r="B648" s="28"/>
      <c r="C648" s="32">
        <v>30</v>
      </c>
      <c r="D648" s="32" t="s">
        <v>918</v>
      </c>
      <c r="E648" s="61"/>
      <c r="F648" s="61"/>
      <c r="G648" s="43"/>
      <c r="H648" s="44"/>
      <c r="I648" s="30"/>
      <c r="J648" s="30"/>
      <c r="K648" s="30"/>
      <c r="L648" s="30"/>
      <c r="M648" s="30"/>
      <c r="N648" s="45"/>
      <c r="O648" s="30"/>
      <c r="P648" s="30"/>
      <c r="Q648" s="30"/>
      <c r="R648" s="45"/>
      <c r="S648" s="30"/>
      <c r="T648" s="30"/>
    </row>
    <row r="649" spans="2:20" ht="15.6" x14ac:dyDescent="0.3">
      <c r="B649" s="28"/>
      <c r="C649" s="28"/>
      <c r="D649" s="28"/>
      <c r="E649" s="28"/>
      <c r="F649" s="28"/>
      <c r="G649" s="43"/>
      <c r="H649" s="44"/>
      <c r="I649" s="30"/>
      <c r="J649" s="30"/>
      <c r="K649" s="30"/>
      <c r="L649" s="30"/>
      <c r="M649" s="30"/>
      <c r="N649" s="45"/>
      <c r="O649" s="30"/>
      <c r="P649" s="30"/>
      <c r="Q649" s="30"/>
      <c r="R649" s="45"/>
      <c r="S649" s="30"/>
      <c r="T649" s="30"/>
    </row>
    <row r="650" spans="2:20" ht="15.6" x14ac:dyDescent="0.3">
      <c r="B650" s="60">
        <v>1</v>
      </c>
      <c r="C650" s="60" t="s">
        <v>919</v>
      </c>
      <c r="D650" s="34" t="s">
        <v>920</v>
      </c>
      <c r="E650" s="35">
        <v>45930</v>
      </c>
      <c r="F650" s="36">
        <v>345.63341000000003</v>
      </c>
      <c r="G650" s="37">
        <v>10</v>
      </c>
      <c r="H650" s="38">
        <f t="shared" ref="H650:H672" si="107">+F650/G650</f>
        <v>34.563341000000001</v>
      </c>
      <c r="I650" s="36">
        <v>4409.9780000000001</v>
      </c>
      <c r="J650" s="36">
        <v>15727.74</v>
      </c>
      <c r="K650" s="36">
        <v>27406.656999999999</v>
      </c>
      <c r="L650" s="36">
        <v>450.04899999999998</v>
      </c>
      <c r="M650" s="36">
        <v>1926.5450000000001</v>
      </c>
      <c r="N650" s="38">
        <f t="shared" ref="N650:N672" si="108">+M650-O650</f>
        <v>749.58400000000006</v>
      </c>
      <c r="O650" s="36">
        <v>1176.961</v>
      </c>
      <c r="P650" s="39">
        <f>200+100</f>
        <v>300</v>
      </c>
      <c r="Q650" s="39">
        <v>0</v>
      </c>
      <c r="R650" s="40">
        <f t="shared" ref="R650:R672" si="109">SUM(P650:Q650)</f>
        <v>300</v>
      </c>
      <c r="S650" s="39"/>
      <c r="T650" s="41">
        <v>1987</v>
      </c>
    </row>
    <row r="651" spans="2:20" ht="15.6" x14ac:dyDescent="0.3">
      <c r="B651" s="60">
        <f>+B650+1</f>
        <v>2</v>
      </c>
      <c r="C651" s="60" t="s">
        <v>921</v>
      </c>
      <c r="D651" s="34" t="s">
        <v>922</v>
      </c>
      <c r="E651" s="35">
        <v>45838</v>
      </c>
      <c r="F651" s="36">
        <v>75.025099999999995</v>
      </c>
      <c r="G651" s="37">
        <v>10</v>
      </c>
      <c r="H651" s="38">
        <f>+F651/G651</f>
        <v>7.5025099999999991</v>
      </c>
      <c r="I651" s="36">
        <v>-29.254311999999999</v>
      </c>
      <c r="J651" s="36">
        <v>3184.835799</v>
      </c>
      <c r="K651" s="36">
        <v>0</v>
      </c>
      <c r="L651" s="36">
        <v>1.1599930000000001</v>
      </c>
      <c r="M651" s="36">
        <v>-54.048786</v>
      </c>
      <c r="N651" s="38">
        <f>+M651-O651</f>
        <v>0</v>
      </c>
      <c r="O651" s="36">
        <v>-54.048786</v>
      </c>
      <c r="P651" s="39">
        <v>0</v>
      </c>
      <c r="Q651" s="39">
        <v>0</v>
      </c>
      <c r="R651" s="40">
        <f>SUM(P651:Q651)</f>
        <v>0</v>
      </c>
      <c r="S651" s="39">
        <v>7997.32</v>
      </c>
      <c r="T651" s="41">
        <v>1248</v>
      </c>
    </row>
    <row r="652" spans="2:20" ht="15.6" x14ac:dyDescent="0.3">
      <c r="B652" s="60">
        <f t="shared" ref="B652:B671" si="110">+B651+1</f>
        <v>3</v>
      </c>
      <c r="C652" s="33" t="s">
        <v>923</v>
      </c>
      <c r="D652" s="34" t="s">
        <v>924</v>
      </c>
      <c r="E652" s="35">
        <v>45838</v>
      </c>
      <c r="F652" s="36">
        <v>245.51652000000001</v>
      </c>
      <c r="G652" s="37">
        <v>10</v>
      </c>
      <c r="H652" s="38">
        <f t="shared" si="107"/>
        <v>24.551652000000001</v>
      </c>
      <c r="I652" s="36">
        <v>3681.2069999999999</v>
      </c>
      <c r="J652" s="36">
        <v>7929.232</v>
      </c>
      <c r="K652" s="36">
        <v>8944.6939999999995</v>
      </c>
      <c r="L652" s="36">
        <v>224.02600000000001</v>
      </c>
      <c r="M652" s="36">
        <v>463.92</v>
      </c>
      <c r="N652" s="38">
        <f t="shared" si="108"/>
        <v>165.39699999999999</v>
      </c>
      <c r="O652" s="36">
        <v>298.52300000000002</v>
      </c>
      <c r="P652" s="39">
        <v>50</v>
      </c>
      <c r="Q652" s="39">
        <v>0</v>
      </c>
      <c r="R652" s="40">
        <f t="shared" si="109"/>
        <v>50</v>
      </c>
      <c r="S652" s="39"/>
      <c r="T652" s="41">
        <v>2472</v>
      </c>
    </row>
    <row r="653" spans="2:20" ht="15.6" x14ac:dyDescent="0.3">
      <c r="B653" s="60">
        <f t="shared" si="110"/>
        <v>4</v>
      </c>
      <c r="C653" s="60" t="s">
        <v>925</v>
      </c>
      <c r="D653" s="34" t="s">
        <v>926</v>
      </c>
      <c r="E653" s="35">
        <v>45838</v>
      </c>
      <c r="F653" s="36">
        <v>463.82688000000002</v>
      </c>
      <c r="G653" s="37">
        <v>10</v>
      </c>
      <c r="H653" s="38">
        <f t="shared" si="107"/>
        <v>46.382688000000002</v>
      </c>
      <c r="I653" s="36">
        <v>3209.4539589999999</v>
      </c>
      <c r="J653" s="36">
        <f>2258.064247+2144.143343</f>
        <v>4402.20759</v>
      </c>
      <c r="K653" s="36">
        <v>2902.086511</v>
      </c>
      <c r="L653" s="36">
        <v>48.404116999999999</v>
      </c>
      <c r="M653" s="36">
        <v>658.16163800000004</v>
      </c>
      <c r="N653" s="38">
        <f t="shared" si="108"/>
        <v>268.67171700000006</v>
      </c>
      <c r="O653" s="36">
        <v>389.48992099999998</v>
      </c>
      <c r="P653" s="39">
        <f>15+35</f>
        <v>50</v>
      </c>
      <c r="Q653" s="39">
        <v>0</v>
      </c>
      <c r="R653" s="40">
        <f t="shared" si="109"/>
        <v>50</v>
      </c>
      <c r="S653" s="39"/>
      <c r="T653" s="41">
        <v>2068</v>
      </c>
    </row>
    <row r="654" spans="2:20" ht="15.6" x14ac:dyDescent="0.3">
      <c r="B654" s="60">
        <f t="shared" si="110"/>
        <v>5</v>
      </c>
      <c r="C654" s="33" t="s">
        <v>927</v>
      </c>
      <c r="D654" s="34" t="s">
        <v>928</v>
      </c>
      <c r="E654" s="35">
        <v>45838</v>
      </c>
      <c r="F654" s="36">
        <v>14.4</v>
      </c>
      <c r="G654" s="37">
        <v>10</v>
      </c>
      <c r="H654" s="38">
        <f t="shared" si="107"/>
        <v>1.44</v>
      </c>
      <c r="I654" s="36">
        <v>183.32599999999999</v>
      </c>
      <c r="J654" s="36">
        <v>626.37300000000005</v>
      </c>
      <c r="K654" s="36">
        <v>587.14099999999996</v>
      </c>
      <c r="L654" s="36">
        <v>7.8460000000000001</v>
      </c>
      <c r="M654" s="36">
        <v>-2.7650000000000001</v>
      </c>
      <c r="N654" s="38">
        <f t="shared" si="108"/>
        <v>1.294</v>
      </c>
      <c r="O654" s="36">
        <v>-4.0590000000000002</v>
      </c>
      <c r="P654" s="39">
        <v>0</v>
      </c>
      <c r="Q654" s="39">
        <v>0</v>
      </c>
      <c r="R654" s="40">
        <f t="shared" si="109"/>
        <v>0</v>
      </c>
      <c r="S654" s="39"/>
      <c r="T654" s="41">
        <v>863</v>
      </c>
    </row>
    <row r="655" spans="2:20" ht="15.6" x14ac:dyDescent="0.3">
      <c r="B655" s="60">
        <f t="shared" si="110"/>
        <v>6</v>
      </c>
      <c r="C655" s="33" t="s">
        <v>929</v>
      </c>
      <c r="D655" s="34" t="s">
        <v>930</v>
      </c>
      <c r="E655" s="35">
        <v>45838</v>
      </c>
      <c r="F655" s="36">
        <v>40</v>
      </c>
      <c r="G655" s="37">
        <v>10</v>
      </c>
      <c r="H655" s="38">
        <f t="shared" si="107"/>
        <v>4</v>
      </c>
      <c r="I655" s="36">
        <v>280.21298999999999</v>
      </c>
      <c r="J655" s="36">
        <v>604.694028</v>
      </c>
      <c r="K655" s="36">
        <v>353.20697999999999</v>
      </c>
      <c r="L655" s="36">
        <v>41.446990999999997</v>
      </c>
      <c r="M655" s="36">
        <v>-33.341163999999999</v>
      </c>
      <c r="N655" s="38">
        <f t="shared" si="108"/>
        <v>-8.6461679999999994</v>
      </c>
      <c r="O655" s="36">
        <v>-24.694996</v>
      </c>
      <c r="P655" s="39">
        <v>0</v>
      </c>
      <c r="Q655" s="39">
        <v>0</v>
      </c>
      <c r="R655" s="40">
        <f t="shared" si="109"/>
        <v>0</v>
      </c>
      <c r="S655" s="39"/>
      <c r="T655" s="41">
        <v>2536</v>
      </c>
    </row>
    <row r="656" spans="2:20" ht="15.6" x14ac:dyDescent="0.3">
      <c r="B656" s="60">
        <f t="shared" si="110"/>
        <v>7</v>
      </c>
      <c r="C656" s="60" t="s">
        <v>931</v>
      </c>
      <c r="D656" s="34" t="s">
        <v>932</v>
      </c>
      <c r="E656" s="35">
        <v>45838</v>
      </c>
      <c r="F656" s="36">
        <v>1750.3108400000001</v>
      </c>
      <c r="G656" s="37">
        <v>10</v>
      </c>
      <c r="H656" s="38">
        <f t="shared" si="107"/>
        <v>175.03108400000002</v>
      </c>
      <c r="I656" s="36">
        <v>3270.4949999999999</v>
      </c>
      <c r="J656" s="36">
        <v>4750.6779999999999</v>
      </c>
      <c r="K656" s="36">
        <v>5916.317</v>
      </c>
      <c r="L656" s="36">
        <v>9.9049999999999994</v>
      </c>
      <c r="M656" s="36">
        <v>1221.1199999999999</v>
      </c>
      <c r="N656" s="38">
        <f t="shared" si="108"/>
        <v>430.9609999999999</v>
      </c>
      <c r="O656" s="36">
        <v>790.15899999999999</v>
      </c>
      <c r="P656" s="39">
        <f>20+20</f>
        <v>40</v>
      </c>
      <c r="Q656" s="39">
        <v>0</v>
      </c>
      <c r="R656" s="40">
        <f t="shared" si="109"/>
        <v>40</v>
      </c>
      <c r="S656" s="39"/>
      <c r="T656" s="41">
        <v>6326</v>
      </c>
    </row>
    <row r="657" spans="2:20" ht="15.6" x14ac:dyDescent="0.3">
      <c r="B657" s="60">
        <f t="shared" si="110"/>
        <v>8</v>
      </c>
      <c r="C657" s="60" t="s">
        <v>933</v>
      </c>
      <c r="D657" s="34" t="s">
        <v>934</v>
      </c>
      <c r="E657" s="35">
        <v>45838</v>
      </c>
      <c r="F657" s="36">
        <v>94.362065000000001</v>
      </c>
      <c r="G657" s="37">
        <v>5</v>
      </c>
      <c r="H657" s="38">
        <f t="shared" si="107"/>
        <v>18.872413000000002</v>
      </c>
      <c r="I657" s="36">
        <v>4878.532013</v>
      </c>
      <c r="J657" s="36">
        <v>6314.5571410000002</v>
      </c>
      <c r="K657" s="36">
        <v>12734.285164000001</v>
      </c>
      <c r="L657" s="36">
        <v>32.516925000000001</v>
      </c>
      <c r="M657" s="36">
        <v>1421.4750610000001</v>
      </c>
      <c r="N657" s="38">
        <f t="shared" si="108"/>
        <v>553.82199300000013</v>
      </c>
      <c r="O657" s="36">
        <v>867.65306799999996</v>
      </c>
      <c r="P657" s="39">
        <f>100+200</f>
        <v>300</v>
      </c>
      <c r="Q657" s="39">
        <v>0</v>
      </c>
      <c r="R657" s="40">
        <f t="shared" si="109"/>
        <v>300</v>
      </c>
      <c r="S657" s="39"/>
      <c r="T657" s="41">
        <v>1654</v>
      </c>
    </row>
    <row r="658" spans="2:20" ht="15.6" x14ac:dyDescent="0.3">
      <c r="B658" s="60">
        <f t="shared" si="110"/>
        <v>9</v>
      </c>
      <c r="C658" s="60" t="s">
        <v>935</v>
      </c>
      <c r="D658" s="34" t="s">
        <v>936</v>
      </c>
      <c r="E658" s="35">
        <v>46022</v>
      </c>
      <c r="F658" s="36"/>
      <c r="G658" s="37">
        <v>10</v>
      </c>
      <c r="H658" s="38">
        <f t="shared" si="107"/>
        <v>0</v>
      </c>
      <c r="I658" s="36"/>
      <c r="J658" s="36"/>
      <c r="K658" s="36"/>
      <c r="L658" s="36"/>
      <c r="M658" s="36"/>
      <c r="N658" s="38">
        <f t="shared" si="108"/>
        <v>0</v>
      </c>
      <c r="O658" s="36"/>
      <c r="P658" s="39"/>
      <c r="Q658" s="39"/>
      <c r="R658" s="40">
        <f t="shared" si="109"/>
        <v>0</v>
      </c>
      <c r="S658" s="39"/>
      <c r="T658" s="41"/>
    </row>
    <row r="659" spans="2:20" ht="15.6" x14ac:dyDescent="0.3">
      <c r="B659" s="60"/>
      <c r="C659" s="60" t="s">
        <v>937</v>
      </c>
      <c r="D659" s="34" t="s">
        <v>938</v>
      </c>
      <c r="E659" s="35">
        <v>46022</v>
      </c>
      <c r="F659" s="36"/>
      <c r="G659" s="37">
        <v>10</v>
      </c>
      <c r="H659" s="38">
        <f>+F659/G659</f>
        <v>0</v>
      </c>
      <c r="I659" s="36"/>
      <c r="J659" s="36"/>
      <c r="K659" s="36"/>
      <c r="L659" s="36"/>
      <c r="M659" s="36"/>
      <c r="N659" s="38">
        <f>+M659-O659</f>
        <v>0</v>
      </c>
      <c r="O659" s="36"/>
      <c r="P659" s="39"/>
      <c r="Q659" s="39"/>
      <c r="R659" s="40">
        <f>SUM(P659:Q659)</f>
        <v>0</v>
      </c>
      <c r="S659" s="39"/>
      <c r="T659" s="41"/>
    </row>
    <row r="660" spans="2:20" ht="15.6" x14ac:dyDescent="0.3">
      <c r="B660" s="60">
        <f>+B658+1</f>
        <v>10</v>
      </c>
      <c r="C660" s="60" t="s">
        <v>939</v>
      </c>
      <c r="D660" s="34" t="s">
        <v>940</v>
      </c>
      <c r="E660" s="35">
        <v>45838</v>
      </c>
      <c r="F660" s="36">
        <v>5704.5193099999997</v>
      </c>
      <c r="G660" s="37">
        <v>10</v>
      </c>
      <c r="H660" s="38">
        <f>+F660/G660</f>
        <v>570.45193099999995</v>
      </c>
      <c r="I660" s="36">
        <v>9203.3739999999998</v>
      </c>
      <c r="J660" s="36">
        <v>16247.956</v>
      </c>
      <c r="K660" s="36">
        <v>7435.42</v>
      </c>
      <c r="L660" s="36">
        <v>453.02100000000002</v>
      </c>
      <c r="M660" s="36">
        <v>2636.8919999999998</v>
      </c>
      <c r="N660" s="38">
        <f>+M660-O660</f>
        <v>620.69699999999989</v>
      </c>
      <c r="O660" s="36">
        <v>2016.1949999999999</v>
      </c>
      <c r="P660" s="39">
        <f>6</f>
        <v>6</v>
      </c>
      <c r="Q660" s="39">
        <v>0</v>
      </c>
      <c r="R660" s="40">
        <f>SUM(P660:Q660)</f>
        <v>6</v>
      </c>
      <c r="S660" s="39"/>
      <c r="T660" s="41">
        <v>6721</v>
      </c>
    </row>
    <row r="661" spans="2:20" ht="15.6" x14ac:dyDescent="0.3">
      <c r="B661" s="60">
        <f>+B660+1</f>
        <v>11</v>
      </c>
      <c r="C661" s="60" t="s">
        <v>941</v>
      </c>
      <c r="D661" s="34" t="s">
        <v>942</v>
      </c>
      <c r="E661" s="35">
        <v>45838</v>
      </c>
      <c r="F661" s="36">
        <v>2501.4395</v>
      </c>
      <c r="G661" s="37">
        <v>10</v>
      </c>
      <c r="H661" s="38">
        <f>+F661/G661</f>
        <v>250.14394999999999</v>
      </c>
      <c r="I661" s="36">
        <v>3520.5666879999999</v>
      </c>
      <c r="J661" s="36">
        <v>4683.5003349999997</v>
      </c>
      <c r="K661" s="36">
        <v>0</v>
      </c>
      <c r="L661" s="36">
        <v>0</v>
      </c>
      <c r="M661" s="36">
        <v>75.387663000000003</v>
      </c>
      <c r="N661" s="38">
        <f>+M661-O661</f>
        <v>0</v>
      </c>
      <c r="O661" s="36">
        <v>75.387663000000003</v>
      </c>
      <c r="P661" s="39">
        <v>0</v>
      </c>
      <c r="Q661" s="39">
        <v>0</v>
      </c>
      <c r="R661" s="40">
        <f>SUM(P661:Q661)</f>
        <v>0</v>
      </c>
      <c r="S661" s="39"/>
      <c r="T661" s="41">
        <v>6156</v>
      </c>
    </row>
    <row r="662" spans="2:20" ht="15.6" x14ac:dyDescent="0.3">
      <c r="B662" s="60">
        <f>+B661+1</f>
        <v>12</v>
      </c>
      <c r="C662" s="60" t="s">
        <v>943</v>
      </c>
      <c r="D662" s="34" t="s">
        <v>944</v>
      </c>
      <c r="E662" s="35">
        <v>45838</v>
      </c>
      <c r="F662" s="36">
        <v>3541.1970000000001</v>
      </c>
      <c r="G662" s="37">
        <v>10</v>
      </c>
      <c r="H662" s="38">
        <f t="shared" si="107"/>
        <v>354.11970000000002</v>
      </c>
      <c r="I662" s="36">
        <v>3960.54</v>
      </c>
      <c r="J662" s="36">
        <v>4021.2979999999998</v>
      </c>
      <c r="K662" s="36">
        <v>95.652000000000001</v>
      </c>
      <c r="L662" s="36">
        <v>12.000999999999999</v>
      </c>
      <c r="M662" s="36">
        <v>180.66800000000001</v>
      </c>
      <c r="N662" s="38">
        <f t="shared" si="108"/>
        <v>31.478000000000009</v>
      </c>
      <c r="O662" s="36">
        <v>149.19</v>
      </c>
      <c r="P662" s="39">
        <v>0</v>
      </c>
      <c r="Q662" s="39">
        <v>0</v>
      </c>
      <c r="R662" s="40">
        <f t="shared" si="109"/>
        <v>0</v>
      </c>
      <c r="S662" s="39"/>
      <c r="T662" s="41">
        <v>6804</v>
      </c>
    </row>
    <row r="663" spans="2:20" ht="15.6" x14ac:dyDescent="0.3">
      <c r="B663" s="60">
        <f>+B662+1</f>
        <v>13</v>
      </c>
      <c r="C663" s="60" t="s">
        <v>945</v>
      </c>
      <c r="D663" s="34" t="s">
        <v>946</v>
      </c>
      <c r="E663" s="35">
        <v>45838</v>
      </c>
      <c r="F663" s="36">
        <v>923.59050000000002</v>
      </c>
      <c r="G663" s="37">
        <v>2</v>
      </c>
      <c r="H663" s="38">
        <f t="shared" si="107"/>
        <v>461.79525000000001</v>
      </c>
      <c r="I663" s="36">
        <v>48992.09</v>
      </c>
      <c r="J663" s="36">
        <v>95078.62</v>
      </c>
      <c r="K663" s="36">
        <v>120013.16</v>
      </c>
      <c r="L663" s="36">
        <v>2210.4569999999999</v>
      </c>
      <c r="M663" s="36">
        <v>18491.830000000002</v>
      </c>
      <c r="N663" s="38">
        <f t="shared" si="108"/>
        <v>6853.4200000000019</v>
      </c>
      <c r="O663" s="36">
        <v>11638.41</v>
      </c>
      <c r="P663" s="39">
        <f>340+310</f>
        <v>650</v>
      </c>
      <c r="Q663" s="39">
        <v>0</v>
      </c>
      <c r="R663" s="40">
        <f t="shared" si="109"/>
        <v>650</v>
      </c>
      <c r="S663" s="39"/>
      <c r="T663" s="41">
        <v>10325</v>
      </c>
    </row>
    <row r="664" spans="2:20" ht="15.6" x14ac:dyDescent="0.3">
      <c r="B664" s="90">
        <f>+B663+1</f>
        <v>14</v>
      </c>
      <c r="C664" s="60" t="s">
        <v>947</v>
      </c>
      <c r="D664" s="34" t="s">
        <v>948</v>
      </c>
      <c r="E664" s="35">
        <v>45838</v>
      </c>
      <c r="F664" s="36">
        <v>999.999999</v>
      </c>
      <c r="G664" s="37">
        <v>10</v>
      </c>
      <c r="H664" s="38">
        <f t="shared" si="107"/>
        <v>99.999999900000006</v>
      </c>
      <c r="I664" s="36">
        <v>10233.611000000001</v>
      </c>
      <c r="J664" s="36">
        <v>20092.506000000001</v>
      </c>
      <c r="K664" s="36">
        <v>27857.09</v>
      </c>
      <c r="L664" s="36">
        <v>633.91499999999996</v>
      </c>
      <c r="M664" s="36">
        <v>2215.3270000000002</v>
      </c>
      <c r="N664" s="38">
        <f t="shared" si="108"/>
        <v>917.52100000000019</v>
      </c>
      <c r="O664" s="36">
        <v>1297.806</v>
      </c>
      <c r="P664" s="39">
        <f>20+20</f>
        <v>40</v>
      </c>
      <c r="Q664" s="39">
        <v>0</v>
      </c>
      <c r="R664" s="40">
        <f t="shared" si="109"/>
        <v>40</v>
      </c>
      <c r="S664" s="39"/>
      <c r="T664" s="41">
        <v>1102</v>
      </c>
    </row>
    <row r="665" spans="2:20" ht="15.6" x14ac:dyDescent="0.3">
      <c r="B665" s="60">
        <f t="shared" si="110"/>
        <v>15</v>
      </c>
      <c r="C665" s="60" t="s">
        <v>949</v>
      </c>
      <c r="D665" s="34" t="s">
        <v>950</v>
      </c>
      <c r="E665" s="35">
        <v>46022</v>
      </c>
      <c r="F665" s="36">
        <v>15142.072</v>
      </c>
      <c r="G665" s="37">
        <v>10</v>
      </c>
      <c r="H665" s="38">
        <f t="shared" si="107"/>
        <v>1514.2072000000001</v>
      </c>
      <c r="I665" s="36"/>
      <c r="J665" s="36"/>
      <c r="K665" s="36"/>
      <c r="L665" s="36"/>
      <c r="M665" s="36"/>
      <c r="N665" s="38">
        <f t="shared" si="108"/>
        <v>0</v>
      </c>
      <c r="O665" s="36"/>
      <c r="P665" s="39">
        <f>50</f>
        <v>50</v>
      </c>
      <c r="Q665" s="39"/>
      <c r="R665" s="40">
        <f t="shared" si="109"/>
        <v>50</v>
      </c>
      <c r="S665" s="39"/>
      <c r="T665" s="41"/>
    </row>
    <row r="666" spans="2:20" ht="15.6" x14ac:dyDescent="0.3">
      <c r="B666" s="60">
        <f t="shared" si="110"/>
        <v>16</v>
      </c>
      <c r="C666" s="60" t="s">
        <v>951</v>
      </c>
      <c r="D666" s="34" t="s">
        <v>952</v>
      </c>
      <c r="E666" s="35">
        <v>45838</v>
      </c>
      <c r="F666" s="36">
        <v>75</v>
      </c>
      <c r="G666" s="37">
        <v>10</v>
      </c>
      <c r="H666" s="38">
        <f t="shared" si="107"/>
        <v>7.5</v>
      </c>
      <c r="I666" s="36">
        <v>1112.231</v>
      </c>
      <c r="J666" s="36">
        <v>2192.5050000000001</v>
      </c>
      <c r="K666" s="36">
        <v>1628.6120000000001</v>
      </c>
      <c r="L666" s="36">
        <v>73.427999999999997</v>
      </c>
      <c r="M666" s="36">
        <v>29.672999999999998</v>
      </c>
      <c r="N666" s="38">
        <f t="shared" si="108"/>
        <v>13.850999999999999</v>
      </c>
      <c r="O666" s="36">
        <v>15.821999999999999</v>
      </c>
      <c r="P666" s="39">
        <v>0</v>
      </c>
      <c r="Q666" s="39">
        <v>0</v>
      </c>
      <c r="R666" s="40">
        <f t="shared" si="109"/>
        <v>0</v>
      </c>
      <c r="S666" s="39"/>
      <c r="T666" s="41">
        <v>1218</v>
      </c>
    </row>
    <row r="667" spans="2:20" ht="15.6" x14ac:dyDescent="0.3">
      <c r="B667" s="60">
        <f t="shared" si="110"/>
        <v>17</v>
      </c>
      <c r="C667" s="60" t="s">
        <v>953</v>
      </c>
      <c r="D667" s="34" t="s">
        <v>954</v>
      </c>
      <c r="E667" s="35">
        <v>45838</v>
      </c>
      <c r="F667" s="36">
        <v>1105.9054599999999</v>
      </c>
      <c r="G667" s="37">
        <v>10</v>
      </c>
      <c r="H667" s="38">
        <f t="shared" si="107"/>
        <v>110.59054599999999</v>
      </c>
      <c r="I667" s="36">
        <v>9819.996486</v>
      </c>
      <c r="J667" s="36">
        <v>33311.141513000002</v>
      </c>
      <c r="K667" s="36">
        <v>45255.489658999999</v>
      </c>
      <c r="L667" s="36">
        <v>2527.4093539999999</v>
      </c>
      <c r="M667" s="36">
        <v>2115.6724720000002</v>
      </c>
      <c r="N667" s="38">
        <f t="shared" si="108"/>
        <v>92.98859100000027</v>
      </c>
      <c r="O667" s="36">
        <v>2022.6838809999999</v>
      </c>
      <c r="P667" s="39">
        <f>20+15+20</f>
        <v>55</v>
      </c>
      <c r="Q667" s="39">
        <v>0</v>
      </c>
      <c r="R667" s="40">
        <f t="shared" si="109"/>
        <v>55</v>
      </c>
      <c r="S667" s="39"/>
      <c r="T667" s="41">
        <v>1915</v>
      </c>
    </row>
    <row r="668" spans="2:20" ht="15.6" x14ac:dyDescent="0.3">
      <c r="B668" s="60">
        <f t="shared" si="110"/>
        <v>18</v>
      </c>
      <c r="C668" s="60" t="s">
        <v>955</v>
      </c>
      <c r="D668" s="34" t="s">
        <v>956</v>
      </c>
      <c r="E668" s="35">
        <v>45838</v>
      </c>
      <c r="F668" s="36">
        <v>1413.21064</v>
      </c>
      <c r="G668" s="37">
        <v>10</v>
      </c>
      <c r="H668" s="38">
        <f t="shared" si="107"/>
        <v>141.32106400000001</v>
      </c>
      <c r="I668" s="36">
        <v>3407.7484989999998</v>
      </c>
      <c r="J668" s="36">
        <v>6775.6662500000002</v>
      </c>
      <c r="K668" s="36">
        <v>9258.8135180000008</v>
      </c>
      <c r="L668" s="36">
        <v>324.45599700000002</v>
      </c>
      <c r="M668" s="36">
        <v>291.57802500000003</v>
      </c>
      <c r="N668" s="38">
        <f t="shared" si="108"/>
        <v>42.105987000000027</v>
      </c>
      <c r="O668" s="36">
        <v>249.472038</v>
      </c>
      <c r="P668" s="39">
        <v>0</v>
      </c>
      <c r="Q668" s="39">
        <v>0</v>
      </c>
      <c r="R668" s="40">
        <f t="shared" si="109"/>
        <v>0</v>
      </c>
      <c r="S668" s="39"/>
      <c r="T668" s="41">
        <v>5093</v>
      </c>
    </row>
    <row r="669" spans="2:20" ht="15.6" x14ac:dyDescent="0.3">
      <c r="B669" s="60">
        <f t="shared" si="110"/>
        <v>19</v>
      </c>
      <c r="C669" s="60" t="s">
        <v>957</v>
      </c>
      <c r="D669" s="34" t="s">
        <v>958</v>
      </c>
      <c r="E669" s="35">
        <v>46022</v>
      </c>
      <c r="F669" s="36"/>
      <c r="G669" s="37">
        <v>10</v>
      </c>
      <c r="H669" s="38">
        <f t="shared" si="107"/>
        <v>0</v>
      </c>
      <c r="I669" s="36"/>
      <c r="J669" s="36"/>
      <c r="K669" s="36"/>
      <c r="L669" s="36"/>
      <c r="M669" s="36"/>
      <c r="N669" s="38">
        <f t="shared" si="108"/>
        <v>0</v>
      </c>
      <c r="O669" s="36"/>
      <c r="P669" s="39"/>
      <c r="Q669" s="39"/>
      <c r="R669" s="40">
        <f t="shared" si="109"/>
        <v>0</v>
      </c>
      <c r="S669" s="39"/>
      <c r="T669" s="41"/>
    </row>
    <row r="670" spans="2:20" ht="15.6" x14ac:dyDescent="0.3">
      <c r="B670" s="60">
        <f t="shared" si="110"/>
        <v>20</v>
      </c>
      <c r="C670" s="60" t="s">
        <v>959</v>
      </c>
      <c r="D670" s="34" t="s">
        <v>960</v>
      </c>
      <c r="E670" s="35">
        <v>45838</v>
      </c>
      <c r="F670" s="36">
        <v>60</v>
      </c>
      <c r="G670" s="37">
        <v>10</v>
      </c>
      <c r="H670" s="38">
        <f t="shared" si="107"/>
        <v>6</v>
      </c>
      <c r="I670" s="36">
        <v>344.74876899999998</v>
      </c>
      <c r="J670" s="36">
        <v>466.97089999999997</v>
      </c>
      <c r="K670" s="36">
        <v>533.85953300000006</v>
      </c>
      <c r="L670" s="36">
        <v>12.47752</v>
      </c>
      <c r="M670" s="36">
        <v>53.454205999999999</v>
      </c>
      <c r="N670" s="38">
        <f t="shared" si="108"/>
        <v>7.8502480000000006</v>
      </c>
      <c r="O670" s="36">
        <v>45.603957999999999</v>
      </c>
      <c r="P670" s="39">
        <v>15</v>
      </c>
      <c r="Q670" s="39">
        <v>0</v>
      </c>
      <c r="R670" s="40">
        <f t="shared" si="109"/>
        <v>15</v>
      </c>
      <c r="S670" s="39"/>
      <c r="T670" s="41">
        <v>1798</v>
      </c>
    </row>
    <row r="671" spans="2:20" ht="15.6" x14ac:dyDescent="0.3">
      <c r="B671" s="60">
        <f t="shared" si="110"/>
        <v>21</v>
      </c>
      <c r="C671" s="60" t="s">
        <v>961</v>
      </c>
      <c r="D671" s="34" t="s">
        <v>962</v>
      </c>
      <c r="E671" s="35">
        <v>45838</v>
      </c>
      <c r="F671" s="36">
        <v>214.29407</v>
      </c>
      <c r="G671" s="37">
        <v>10</v>
      </c>
      <c r="H671" s="38">
        <f t="shared" si="107"/>
        <v>21.429407000000001</v>
      </c>
      <c r="I671" s="36">
        <v>18865.716455999998</v>
      </c>
      <c r="J671" s="36">
        <v>47508.002224999997</v>
      </c>
      <c r="K671" s="36">
        <v>32530.215523999999</v>
      </c>
      <c r="L671" s="36">
        <v>1903.6294479999999</v>
      </c>
      <c r="M671" s="36">
        <v>1859.548423</v>
      </c>
      <c r="N671" s="38">
        <f t="shared" si="108"/>
        <v>920.27386999999999</v>
      </c>
      <c r="O671" s="36">
        <v>939.27455299999997</v>
      </c>
      <c r="P671" s="39">
        <v>110</v>
      </c>
      <c r="Q671" s="39">
        <v>0</v>
      </c>
      <c r="R671" s="40">
        <f t="shared" si="109"/>
        <v>110</v>
      </c>
      <c r="S671" s="39"/>
      <c r="T671" s="41">
        <v>1805</v>
      </c>
    </row>
    <row r="672" spans="2:20" ht="15.6" x14ac:dyDescent="0.3">
      <c r="B672" s="60">
        <f>+B671+1</f>
        <v>22</v>
      </c>
      <c r="C672" s="60" t="s">
        <v>963</v>
      </c>
      <c r="D672" s="34" t="s">
        <v>964</v>
      </c>
      <c r="E672" s="35">
        <v>45838</v>
      </c>
      <c r="F672" s="36">
        <v>90</v>
      </c>
      <c r="G672" s="37">
        <v>10</v>
      </c>
      <c r="H672" s="38">
        <f t="shared" si="107"/>
        <v>9</v>
      </c>
      <c r="I672" s="36">
        <v>2654.312527</v>
      </c>
      <c r="J672" s="36">
        <v>3840.6878000000002</v>
      </c>
      <c r="K672" s="36">
        <v>5096.0346790000003</v>
      </c>
      <c r="L672" s="36">
        <v>17.921870999999999</v>
      </c>
      <c r="M672" s="36">
        <v>715.56287899999995</v>
      </c>
      <c r="N672" s="38">
        <f t="shared" si="108"/>
        <v>233.62890299999998</v>
      </c>
      <c r="O672" s="36">
        <v>481.93397599999997</v>
      </c>
      <c r="P672" s="39">
        <v>100</v>
      </c>
      <c r="Q672" s="39">
        <v>0</v>
      </c>
      <c r="R672" s="40">
        <f t="shared" si="109"/>
        <v>100</v>
      </c>
      <c r="S672" s="39"/>
      <c r="T672" s="41">
        <v>1002</v>
      </c>
    </row>
    <row r="673" spans="2:20" ht="15.6" x14ac:dyDescent="0.3">
      <c r="B673" s="62"/>
      <c r="C673" s="62"/>
      <c r="D673" s="64"/>
      <c r="E673" s="65"/>
      <c r="F673" s="66"/>
      <c r="G673" s="43"/>
      <c r="H673" s="67"/>
      <c r="I673" s="66"/>
      <c r="J673" s="66"/>
      <c r="K673" s="66"/>
      <c r="L673" s="66"/>
      <c r="M673" s="66"/>
      <c r="N673" s="67"/>
      <c r="O673" s="66"/>
      <c r="P673" s="68"/>
      <c r="Q673" s="68"/>
      <c r="R673" s="69"/>
      <c r="S673" s="68"/>
      <c r="T673" s="70"/>
    </row>
    <row r="674" spans="2:20" ht="18" x14ac:dyDescent="0.35">
      <c r="B674" s="28"/>
      <c r="C674" s="28"/>
      <c r="D674" s="56" t="s">
        <v>30</v>
      </c>
      <c r="E674" s="28"/>
      <c r="F674" s="28"/>
      <c r="G674" s="43"/>
      <c r="H674" s="44"/>
      <c r="I674" s="30"/>
      <c r="J674" s="30"/>
      <c r="K674" s="30"/>
      <c r="L674" s="30"/>
      <c r="M674" s="30"/>
      <c r="N674" s="45"/>
      <c r="O674" s="30"/>
      <c r="P674" s="30"/>
      <c r="Q674" s="30"/>
      <c r="R674" s="45"/>
      <c r="S674" s="30"/>
      <c r="T674" s="30"/>
    </row>
    <row r="675" spans="2:20" ht="15.6" x14ac:dyDescent="0.3">
      <c r="B675" s="60">
        <v>1</v>
      </c>
      <c r="C675" s="60" t="s">
        <v>965</v>
      </c>
      <c r="D675" s="34" t="s">
        <v>966</v>
      </c>
      <c r="E675" s="35">
        <v>45838</v>
      </c>
      <c r="F675" s="36">
        <v>149.58000000000001</v>
      </c>
      <c r="G675" s="37">
        <v>10</v>
      </c>
      <c r="H675" s="38">
        <f>+F675/G675</f>
        <v>14.958000000000002</v>
      </c>
      <c r="I675" s="36">
        <v>-32.557147999999998</v>
      </c>
      <c r="J675" s="36">
        <v>262.71030100000002</v>
      </c>
      <c r="K675" s="36">
        <v>6.7351349999999996</v>
      </c>
      <c r="L675" s="36">
        <v>3.6411229999999999</v>
      </c>
      <c r="M675" s="36">
        <v>-6.9481869999999999</v>
      </c>
      <c r="N675" s="38">
        <f>+M675-O675</f>
        <v>0.2298309999999999</v>
      </c>
      <c r="O675" s="36">
        <v>-7.1780179999999998</v>
      </c>
      <c r="P675" s="39">
        <v>0</v>
      </c>
      <c r="Q675" s="39">
        <v>0</v>
      </c>
      <c r="R675" s="40">
        <f>SUM(P675:Q675)</f>
        <v>0</v>
      </c>
      <c r="S675" s="39"/>
      <c r="T675" s="41">
        <v>580</v>
      </c>
    </row>
    <row r="676" spans="2:20" ht="15.6" x14ac:dyDescent="0.3">
      <c r="B676" s="60">
        <f>+B675+1</f>
        <v>2</v>
      </c>
      <c r="C676" s="60" t="s">
        <v>967</v>
      </c>
      <c r="D676" s="34" t="s">
        <v>968</v>
      </c>
      <c r="E676" s="35">
        <v>45838</v>
      </c>
      <c r="F676" s="36">
        <v>120</v>
      </c>
      <c r="G676" s="37">
        <v>10</v>
      </c>
      <c r="H676" s="38">
        <f>+F676/G676</f>
        <v>12</v>
      </c>
      <c r="I676" s="36">
        <v>-70.545338999999998</v>
      </c>
      <c r="J676" s="36">
        <v>52.602820000000001</v>
      </c>
      <c r="K676" s="36">
        <v>23.681011999999999</v>
      </c>
      <c r="L676" s="36">
        <v>7.1592029999999998</v>
      </c>
      <c r="M676" s="36">
        <v>-29.434080999999999</v>
      </c>
      <c r="N676" s="38">
        <f>+M676-O676</f>
        <v>-0.3262129999999992</v>
      </c>
      <c r="O676" s="36">
        <v>-29.107868</v>
      </c>
      <c r="P676" s="39">
        <v>0</v>
      </c>
      <c r="Q676" s="39">
        <v>0</v>
      </c>
      <c r="R676" s="40">
        <f>SUM(P676:Q676)</f>
        <v>0</v>
      </c>
      <c r="S676" s="39"/>
      <c r="T676" s="41">
        <v>1031</v>
      </c>
    </row>
    <row r="677" spans="2:20" ht="15.6" x14ac:dyDescent="0.3">
      <c r="B677" s="60">
        <f>+B676+1</f>
        <v>3</v>
      </c>
      <c r="C677" s="60" t="s">
        <v>969</v>
      </c>
      <c r="D677" s="34" t="s">
        <v>970</v>
      </c>
      <c r="E677" s="35">
        <v>45838</v>
      </c>
      <c r="F677" s="36">
        <v>551</v>
      </c>
      <c r="G677" s="37">
        <v>10</v>
      </c>
      <c r="H677" s="38">
        <f>+F677/G677</f>
        <v>55.1</v>
      </c>
      <c r="I677" s="36">
        <v>989.05583200000001</v>
      </c>
      <c r="J677" s="36">
        <v>2784.4214959999999</v>
      </c>
      <c r="K677" s="36">
        <v>0</v>
      </c>
      <c r="L677" s="36">
        <v>4.7353139999999998</v>
      </c>
      <c r="M677" s="36">
        <v>-311.354016</v>
      </c>
      <c r="N677" s="38">
        <f>+M677-O677</f>
        <v>-88.835172</v>
      </c>
      <c r="O677" s="36">
        <v>-222.518844</v>
      </c>
      <c r="P677" s="39">
        <v>0</v>
      </c>
      <c r="Q677" s="39">
        <v>0</v>
      </c>
      <c r="R677" s="40">
        <f>SUM(P677:Q677)</f>
        <v>0</v>
      </c>
      <c r="S677" s="39"/>
      <c r="T677" s="41">
        <v>6215</v>
      </c>
    </row>
    <row r="678" spans="2:20" ht="15.6" x14ac:dyDescent="0.3">
      <c r="B678" s="28"/>
      <c r="C678" s="28"/>
      <c r="D678" s="28"/>
      <c r="E678" s="28"/>
      <c r="F678" s="28"/>
      <c r="G678" s="43"/>
      <c r="H678" s="44"/>
      <c r="I678" s="30"/>
      <c r="J678" s="30"/>
      <c r="K678" s="30"/>
      <c r="L678" s="30"/>
      <c r="M678" s="30"/>
      <c r="N678" s="45"/>
      <c r="O678" s="30"/>
      <c r="P678" s="30"/>
      <c r="Q678" s="30"/>
      <c r="R678" s="45"/>
      <c r="S678" s="30"/>
      <c r="T678" s="30"/>
    </row>
    <row r="679" spans="2:20" ht="15.6" x14ac:dyDescent="0.3">
      <c r="B679" s="47">
        <f>COUNT(B620:B678)</f>
        <v>45</v>
      </c>
      <c r="C679" s="47"/>
      <c r="D679" s="48"/>
      <c r="E679" s="48"/>
      <c r="F679" s="48">
        <f>SUM(F620:F678)</f>
        <v>184740.33860399999</v>
      </c>
      <c r="G679" s="49"/>
      <c r="H679" s="50">
        <f>SUM(H620:H678)</f>
        <v>22771.84365656666</v>
      </c>
      <c r="I679" s="48">
        <f>SUM(I620:I678)</f>
        <v>311695.20114999992</v>
      </c>
      <c r="J679" s="48">
        <f>SUM(J620:J678)</f>
        <v>547308.0167690001</v>
      </c>
      <c r="K679" s="48">
        <f>SUM(K620:K678)</f>
        <v>464809.41258200008</v>
      </c>
      <c r="L679" s="48">
        <f>SUM(L620:L678)</f>
        <v>15740.320782999997</v>
      </c>
      <c r="M679" s="48">
        <f>SUM(M620:M678)</f>
        <v>399285.89337099984</v>
      </c>
      <c r="N679" s="51">
        <f>SUM(N620:N678)</f>
        <v>147557.13721199997</v>
      </c>
      <c r="O679" s="48">
        <f>SUM(O620:O678)</f>
        <v>251728.75615900007</v>
      </c>
      <c r="P679" s="52"/>
      <c r="Q679" s="52"/>
      <c r="R679" s="53"/>
      <c r="S679" s="52"/>
      <c r="T679" s="54">
        <f>SUM(T620:T678)</f>
        <v>195292</v>
      </c>
    </row>
    <row r="680" spans="2:20" ht="15.6" x14ac:dyDescent="0.3">
      <c r="B680" s="28"/>
      <c r="C680" s="28"/>
      <c r="D680" s="28"/>
      <c r="E680" s="28"/>
      <c r="F680" s="28"/>
      <c r="G680" s="43"/>
      <c r="H680" s="44"/>
      <c r="I680" s="30"/>
      <c r="J680" s="30"/>
      <c r="K680" s="30"/>
      <c r="L680" s="30"/>
      <c r="M680" s="30"/>
      <c r="N680" s="45"/>
      <c r="O680" s="30"/>
      <c r="P680" s="30"/>
      <c r="Q680" s="30"/>
      <c r="R680" s="45"/>
      <c r="S680" s="30"/>
      <c r="T680" s="30"/>
    </row>
    <row r="681" spans="2:20" ht="15.6" x14ac:dyDescent="0.3">
      <c r="B681" s="28"/>
      <c r="C681" s="28"/>
      <c r="D681" s="28"/>
      <c r="E681" s="28"/>
      <c r="F681" s="28"/>
      <c r="G681" s="43"/>
      <c r="H681" s="44"/>
      <c r="I681" s="30"/>
      <c r="J681" s="30"/>
      <c r="K681" s="30"/>
      <c r="L681" s="30"/>
      <c r="M681" s="30"/>
      <c r="N681" s="45"/>
      <c r="O681" s="30"/>
      <c r="P681" s="30"/>
      <c r="Q681" s="30"/>
      <c r="R681" s="45"/>
      <c r="S681" s="30"/>
      <c r="T681" s="30"/>
    </row>
    <row r="682" spans="2:20" ht="18" x14ac:dyDescent="0.35">
      <c r="B682" s="28"/>
      <c r="C682" s="32">
        <v>31</v>
      </c>
      <c r="D682" s="32" t="s">
        <v>971</v>
      </c>
      <c r="E682" s="61"/>
      <c r="F682" s="61"/>
      <c r="G682" s="43"/>
      <c r="H682" s="44"/>
      <c r="I682" s="30"/>
      <c r="J682" s="30"/>
      <c r="K682" s="30"/>
      <c r="L682" s="30"/>
      <c r="M682" s="30"/>
      <c r="N682" s="45"/>
      <c r="O682" s="30"/>
      <c r="P682" s="30"/>
      <c r="Q682" s="30"/>
      <c r="R682" s="45"/>
      <c r="S682" s="30"/>
      <c r="T682" s="30"/>
    </row>
    <row r="683" spans="2:20" ht="15.6" x14ac:dyDescent="0.3">
      <c r="B683" s="28"/>
      <c r="C683" s="28"/>
      <c r="D683" s="28"/>
      <c r="E683" s="28"/>
      <c r="F683" s="28"/>
      <c r="G683" s="43"/>
      <c r="H683" s="44"/>
      <c r="I683" s="30"/>
      <c r="J683" s="30"/>
      <c r="K683" s="30"/>
      <c r="L683" s="30"/>
      <c r="M683" s="30"/>
      <c r="N683" s="45"/>
      <c r="O683" s="30"/>
      <c r="P683" s="30"/>
      <c r="Q683" s="30"/>
      <c r="R683" s="45"/>
      <c r="S683" s="30"/>
      <c r="T683" s="30"/>
    </row>
    <row r="684" spans="2:20" ht="15.6" x14ac:dyDescent="0.3">
      <c r="B684" s="33">
        <v>1</v>
      </c>
      <c r="C684" s="60" t="s">
        <v>972</v>
      </c>
      <c r="D684" s="34" t="s">
        <v>973</v>
      </c>
      <c r="E684" s="35">
        <v>45838</v>
      </c>
      <c r="F684" s="36">
        <v>4017.1289999999999</v>
      </c>
      <c r="G684" s="37">
        <v>10</v>
      </c>
      <c r="H684" s="38">
        <f t="shared" ref="H684:H690" si="111">+F684/G684</f>
        <v>401.71289999999999</v>
      </c>
      <c r="I684" s="36">
        <v>13415.397000000001</v>
      </c>
      <c r="J684" s="36">
        <v>29901.81</v>
      </c>
      <c r="K684" s="36">
        <v>37280.572999999997</v>
      </c>
      <c r="L684" s="36">
        <v>1647.931</v>
      </c>
      <c r="M684" s="36">
        <v>-409.60599999999999</v>
      </c>
      <c r="N684" s="38">
        <f t="shared" ref="N684:N690" si="112">+M684-O684</f>
        <v>-64.183999999999969</v>
      </c>
      <c r="O684" s="36">
        <v>-345.42200000000003</v>
      </c>
      <c r="P684" s="39">
        <v>0</v>
      </c>
      <c r="Q684" s="39">
        <v>0</v>
      </c>
      <c r="R684" s="40">
        <f t="shared" ref="R684:R690" si="113">SUM(P684:Q684)</f>
        <v>0</v>
      </c>
      <c r="S684" s="39"/>
      <c r="T684" s="41">
        <v>4082</v>
      </c>
    </row>
    <row r="685" spans="2:20" ht="15.6" x14ac:dyDescent="0.3">
      <c r="B685" s="33">
        <f t="shared" ref="B685:B693" si="114">+B684+1</f>
        <v>2</v>
      </c>
      <c r="C685" s="33" t="s">
        <v>974</v>
      </c>
      <c r="D685" s="34" t="s">
        <v>975</v>
      </c>
      <c r="E685" s="35">
        <v>45838</v>
      </c>
      <c r="F685" s="36">
        <v>490.95396</v>
      </c>
      <c r="G685" s="37">
        <v>10</v>
      </c>
      <c r="H685" s="38">
        <f t="shared" si="111"/>
        <v>49.095396000000001</v>
      </c>
      <c r="I685" s="36">
        <v>8956.027</v>
      </c>
      <c r="J685" s="36">
        <v>15623.281999999999</v>
      </c>
      <c r="K685" s="36">
        <v>13013.71</v>
      </c>
      <c r="L685" s="36">
        <v>462.56799999999998</v>
      </c>
      <c r="M685" s="36">
        <v>301.42700000000002</v>
      </c>
      <c r="N685" s="38">
        <f t="shared" si="112"/>
        <v>-55.003999999999962</v>
      </c>
      <c r="O685" s="36">
        <v>356.43099999999998</v>
      </c>
      <c r="P685" s="39">
        <f>10+20</f>
        <v>30</v>
      </c>
      <c r="Q685" s="39">
        <v>0</v>
      </c>
      <c r="R685" s="40">
        <f t="shared" si="113"/>
        <v>30</v>
      </c>
      <c r="S685" s="39"/>
      <c r="T685" s="41">
        <v>1952</v>
      </c>
    </row>
    <row r="686" spans="2:20" ht="15.6" x14ac:dyDescent="0.3">
      <c r="B686" s="33">
        <f t="shared" si="114"/>
        <v>3</v>
      </c>
      <c r="C686" s="33" t="s">
        <v>976</v>
      </c>
      <c r="D686" s="34" t="s">
        <v>977</v>
      </c>
      <c r="E686" s="35">
        <v>45838</v>
      </c>
      <c r="F686" s="36">
        <v>7002</v>
      </c>
      <c r="G686" s="37">
        <v>10</v>
      </c>
      <c r="H686" s="38">
        <f>+F686/G686</f>
        <v>700.2</v>
      </c>
      <c r="I686" s="36">
        <v>14843.59</v>
      </c>
      <c r="J686" s="36">
        <v>27036.646000000001</v>
      </c>
      <c r="K686" s="36">
        <v>15564.535</v>
      </c>
      <c r="L686" s="36">
        <v>1321.059</v>
      </c>
      <c r="M686" s="36">
        <v>1282.732</v>
      </c>
      <c r="N686" s="38">
        <f>+M686-O686</f>
        <v>431.73699999999997</v>
      </c>
      <c r="O686" s="36">
        <v>850.995</v>
      </c>
      <c r="P686" s="39">
        <v>6</v>
      </c>
      <c r="Q686" s="39">
        <v>5</v>
      </c>
      <c r="R686" s="40">
        <f>SUM(P686:Q686)</f>
        <v>11</v>
      </c>
      <c r="S686" s="39"/>
      <c r="T686" s="41">
        <v>1523</v>
      </c>
    </row>
    <row r="687" spans="2:20" ht="15.6" x14ac:dyDescent="0.3">
      <c r="B687" s="33">
        <f t="shared" si="114"/>
        <v>4</v>
      </c>
      <c r="C687" s="33" t="s">
        <v>978</v>
      </c>
      <c r="D687" s="34" t="s">
        <v>979</v>
      </c>
      <c r="E687" s="35">
        <v>45838</v>
      </c>
      <c r="F687" s="36">
        <v>593.01149999999996</v>
      </c>
      <c r="G687" s="37">
        <v>10</v>
      </c>
      <c r="H687" s="38">
        <f>+F687/G687</f>
        <v>59.301149999999993</v>
      </c>
      <c r="I687" s="36">
        <v>2244.6087349999998</v>
      </c>
      <c r="J687" s="36">
        <v>5268.9776709999996</v>
      </c>
      <c r="K687" s="36">
        <v>5994.6173909999998</v>
      </c>
      <c r="L687" s="36">
        <v>109.62427099999999</v>
      </c>
      <c r="M687" s="36">
        <v>66.822778</v>
      </c>
      <c r="N687" s="38">
        <f>+M687-O687</f>
        <v>-18.461055999999999</v>
      </c>
      <c r="O687" s="36">
        <v>85.283833999999999</v>
      </c>
      <c r="P687" s="39">
        <v>5</v>
      </c>
      <c r="Q687" s="39">
        <v>0</v>
      </c>
      <c r="R687" s="40">
        <f>SUM(P687:Q687)</f>
        <v>5</v>
      </c>
      <c r="S687" s="39"/>
      <c r="T687" s="41">
        <v>1508</v>
      </c>
    </row>
    <row r="688" spans="2:20" ht="15.6" x14ac:dyDescent="0.3">
      <c r="B688" s="33">
        <f t="shared" si="114"/>
        <v>5</v>
      </c>
      <c r="C688" s="33" t="s">
        <v>980</v>
      </c>
      <c r="D688" s="34" t="s">
        <v>981</v>
      </c>
      <c r="E688" s="35">
        <v>45838</v>
      </c>
      <c r="F688" s="36">
        <v>1999.5842700000001</v>
      </c>
      <c r="G688" s="37">
        <v>10</v>
      </c>
      <c r="H688" s="38">
        <f t="shared" si="111"/>
        <v>199.958427</v>
      </c>
      <c r="I688" s="36">
        <v>2272.065333</v>
      </c>
      <c r="J688" s="36">
        <v>5016.7416510000003</v>
      </c>
      <c r="K688" s="36">
        <v>5280.9326209999999</v>
      </c>
      <c r="L688" s="36">
        <v>183.065358</v>
      </c>
      <c r="M688" s="36">
        <v>-599.66752599999995</v>
      </c>
      <c r="N688" s="38">
        <f t="shared" si="112"/>
        <v>0</v>
      </c>
      <c r="O688" s="36">
        <v>-599.66752599999995</v>
      </c>
      <c r="P688" s="39">
        <v>0</v>
      </c>
      <c r="Q688" s="39">
        <v>0</v>
      </c>
      <c r="R688" s="40">
        <f t="shared" si="113"/>
        <v>0</v>
      </c>
      <c r="S688" s="39"/>
      <c r="T688" s="41">
        <v>2114</v>
      </c>
    </row>
    <row r="689" spans="2:20" ht="15.6" x14ac:dyDescent="0.3">
      <c r="B689" s="33">
        <f t="shared" si="114"/>
        <v>6</v>
      </c>
      <c r="C689" s="33" t="s">
        <v>982</v>
      </c>
      <c r="D689" s="34" t="s">
        <v>983</v>
      </c>
      <c r="E689" s="35">
        <v>46022</v>
      </c>
      <c r="F689" s="36"/>
      <c r="G689" s="37">
        <v>10</v>
      </c>
      <c r="H689" s="38">
        <f t="shared" si="111"/>
        <v>0</v>
      </c>
      <c r="I689" s="36"/>
      <c r="J689" s="36"/>
      <c r="K689" s="36"/>
      <c r="L689" s="36"/>
      <c r="M689" s="36"/>
      <c r="N689" s="38">
        <f t="shared" si="112"/>
        <v>0</v>
      </c>
      <c r="O689" s="36"/>
      <c r="P689" s="39"/>
      <c r="Q689" s="39"/>
      <c r="R689" s="40">
        <f t="shared" si="113"/>
        <v>0</v>
      </c>
      <c r="S689" s="39"/>
      <c r="T689" s="41"/>
    </row>
    <row r="690" spans="2:20" ht="15.6" x14ac:dyDescent="0.3">
      <c r="B690" s="33">
        <f t="shared" si="114"/>
        <v>7</v>
      </c>
      <c r="C690" s="60" t="s">
        <v>984</v>
      </c>
      <c r="D690" s="34" t="s">
        <v>985</v>
      </c>
      <c r="E690" s="35">
        <v>45838</v>
      </c>
      <c r="F690" s="36">
        <v>80</v>
      </c>
      <c r="G690" s="37">
        <v>10</v>
      </c>
      <c r="H690" s="38">
        <f t="shared" si="111"/>
        <v>8</v>
      </c>
      <c r="I690" s="36">
        <v>1750.7492549999999</v>
      </c>
      <c r="J690" s="36">
        <v>2244.5040629999999</v>
      </c>
      <c r="K690" s="36">
        <v>1733.5972159999999</v>
      </c>
      <c r="L690" s="36">
        <v>38.455185</v>
      </c>
      <c r="M690" s="36">
        <v>161.46252899999999</v>
      </c>
      <c r="N690" s="38">
        <f t="shared" si="112"/>
        <v>39.040986999999987</v>
      </c>
      <c r="O690" s="36">
        <v>122.421542</v>
      </c>
      <c r="P690" s="39">
        <v>50</v>
      </c>
      <c r="Q690" s="39">
        <v>0</v>
      </c>
      <c r="R690" s="40">
        <f t="shared" si="113"/>
        <v>50</v>
      </c>
      <c r="S690" s="39"/>
      <c r="T690" s="41">
        <v>1270</v>
      </c>
    </row>
    <row r="691" spans="2:20" ht="15.6" x14ac:dyDescent="0.3">
      <c r="B691" s="33">
        <f t="shared" si="114"/>
        <v>8</v>
      </c>
      <c r="C691" s="60" t="s">
        <v>986</v>
      </c>
      <c r="D691" s="34" t="s">
        <v>987</v>
      </c>
      <c r="E691" s="35">
        <v>45838</v>
      </c>
      <c r="F691" s="36">
        <v>1419</v>
      </c>
      <c r="G691" s="37">
        <v>10</v>
      </c>
      <c r="H691" s="38">
        <f>+F691/G691</f>
        <v>141.9</v>
      </c>
      <c r="I691" s="36">
        <v>7704.8721830000004</v>
      </c>
      <c r="J691" s="36">
        <v>12161.227134000001</v>
      </c>
      <c r="K691" s="36">
        <v>9660.6919739999994</v>
      </c>
      <c r="L691" s="36">
        <v>190.00617700000001</v>
      </c>
      <c r="M691" s="36">
        <v>195.759286</v>
      </c>
      <c r="N691" s="38">
        <f>+M691-O691</f>
        <v>54.719628999999998</v>
      </c>
      <c r="O691" s="36">
        <v>141.03965700000001</v>
      </c>
      <c r="P691" s="39">
        <v>0</v>
      </c>
      <c r="Q691" s="39">
        <v>0</v>
      </c>
      <c r="R691" s="40">
        <f>SUM(P691:Q691)</f>
        <v>0</v>
      </c>
      <c r="S691" s="39"/>
      <c r="T691" s="41">
        <v>5251</v>
      </c>
    </row>
    <row r="692" spans="2:20" ht="15.6" x14ac:dyDescent="0.3">
      <c r="B692" s="33">
        <f t="shared" si="114"/>
        <v>9</v>
      </c>
      <c r="C692" s="60" t="s">
        <v>988</v>
      </c>
      <c r="D692" s="34" t="s">
        <v>989</v>
      </c>
      <c r="E692" s="35">
        <v>45838</v>
      </c>
      <c r="F692" s="36">
        <v>592.55984999999998</v>
      </c>
      <c r="G692" s="37">
        <v>10</v>
      </c>
      <c r="H692" s="38">
        <f>+F692/G692</f>
        <v>59.255984999999995</v>
      </c>
      <c r="I692" s="36">
        <v>9001.1479999999992</v>
      </c>
      <c r="J692" s="36">
        <v>11349.885</v>
      </c>
      <c r="K692" s="36">
        <v>7870.7</v>
      </c>
      <c r="L692" s="36">
        <v>3.36</v>
      </c>
      <c r="M692" s="36">
        <v>2413.7730000000001</v>
      </c>
      <c r="N692" s="38">
        <f>+M692-O692</f>
        <v>889.98000000000025</v>
      </c>
      <c r="O692" s="36">
        <v>1523.7929999999999</v>
      </c>
      <c r="P692" s="39">
        <f>25+90</f>
        <v>115</v>
      </c>
      <c r="Q692" s="39">
        <v>0</v>
      </c>
      <c r="R692" s="40">
        <f>SUM(P692:Q692)</f>
        <v>115</v>
      </c>
      <c r="S692" s="39"/>
      <c r="T692" s="41">
        <v>2217</v>
      </c>
    </row>
    <row r="693" spans="2:20" ht="15.6" x14ac:dyDescent="0.3">
      <c r="B693" s="33">
        <f t="shared" si="114"/>
        <v>10</v>
      </c>
      <c r="C693" s="33" t="s">
        <v>990</v>
      </c>
      <c r="D693" s="34" t="s">
        <v>991</v>
      </c>
      <c r="E693" s="35">
        <v>45838</v>
      </c>
      <c r="F693" s="36">
        <v>998.68007999999998</v>
      </c>
      <c r="G693" s="37">
        <v>5</v>
      </c>
      <c r="H693" s="38">
        <f>+F693/G693</f>
        <v>199.73601600000001</v>
      </c>
      <c r="I693" s="36">
        <v>6109.8622029999997</v>
      </c>
      <c r="J693" s="36">
        <v>8252.9178339999999</v>
      </c>
      <c r="K693" s="36">
        <v>9633.2175299999999</v>
      </c>
      <c r="L693" s="36">
        <v>127.549424</v>
      </c>
      <c r="M693" s="36">
        <v>1991.020567</v>
      </c>
      <c r="N693" s="38">
        <f>+M693-O693</f>
        <v>737.89857499999994</v>
      </c>
      <c r="O693" s="36">
        <v>1253.1219920000001</v>
      </c>
      <c r="P693" s="39">
        <f>6+6+8</f>
        <v>20</v>
      </c>
      <c r="Q693" s="39">
        <v>0</v>
      </c>
      <c r="R693" s="40">
        <f>SUM(P693:Q693)</f>
        <v>20</v>
      </c>
      <c r="S693" s="39"/>
      <c r="T693" s="41">
        <v>5287</v>
      </c>
    </row>
    <row r="694" spans="2:20" ht="15.6" x14ac:dyDescent="0.3">
      <c r="B694" s="28"/>
      <c r="C694" s="28"/>
      <c r="D694" s="28"/>
      <c r="E694" s="28"/>
      <c r="F694" s="28"/>
      <c r="G694" s="43"/>
      <c r="H694" s="44"/>
      <c r="I694" s="30"/>
      <c r="J694" s="30"/>
      <c r="K694" s="30"/>
      <c r="L694" s="30"/>
      <c r="M694" s="30"/>
      <c r="N694" s="45"/>
      <c r="O694" s="30"/>
      <c r="P694" s="30"/>
      <c r="Q694" s="30"/>
      <c r="R694" s="45"/>
      <c r="S694" s="30"/>
      <c r="T694" s="30"/>
    </row>
    <row r="695" spans="2:20" ht="18" x14ac:dyDescent="0.35">
      <c r="B695" s="28"/>
      <c r="C695" s="28"/>
      <c r="D695" s="56" t="s">
        <v>30</v>
      </c>
      <c r="E695" s="28"/>
      <c r="F695" s="28"/>
      <c r="G695" s="43"/>
      <c r="H695" s="44"/>
      <c r="I695" s="30"/>
      <c r="J695" s="30"/>
      <c r="K695" s="30"/>
      <c r="L695" s="30"/>
      <c r="M695" s="30"/>
      <c r="N695" s="45"/>
      <c r="O695" s="30"/>
      <c r="P695" s="30"/>
      <c r="Q695" s="30"/>
      <c r="R695" s="45"/>
      <c r="S695" s="30"/>
      <c r="T695" s="30"/>
    </row>
    <row r="696" spans="2:20" ht="15.6" x14ac:dyDescent="0.3">
      <c r="B696" s="60">
        <v>1</v>
      </c>
      <c r="C696" s="60" t="s">
        <v>992</v>
      </c>
      <c r="D696" s="34" t="s">
        <v>993</v>
      </c>
      <c r="E696" s="35">
        <v>45838</v>
      </c>
      <c r="F696" s="36"/>
      <c r="G696" s="37">
        <v>10</v>
      </c>
      <c r="H696" s="38">
        <f>+F696/G696</f>
        <v>0</v>
      </c>
      <c r="I696" s="36"/>
      <c r="J696" s="36"/>
      <c r="K696" s="36"/>
      <c r="L696" s="36"/>
      <c r="M696" s="36"/>
      <c r="N696" s="36">
        <f>+M696-O696</f>
        <v>0</v>
      </c>
      <c r="O696" s="36"/>
      <c r="P696" s="39"/>
      <c r="Q696" s="39"/>
      <c r="R696" s="40">
        <f>SUM(P696:Q696)</f>
        <v>0</v>
      </c>
      <c r="S696" s="39"/>
      <c r="T696" s="41"/>
    </row>
    <row r="697" spans="2:20" ht="15.6" x14ac:dyDescent="0.3">
      <c r="B697" s="60">
        <f>+B696+1</f>
        <v>2</v>
      </c>
      <c r="C697" s="33" t="s">
        <v>994</v>
      </c>
      <c r="D697" s="34" t="s">
        <v>995</v>
      </c>
      <c r="E697" s="35">
        <v>45838</v>
      </c>
      <c r="F697" s="36">
        <v>40</v>
      </c>
      <c r="G697" s="37">
        <v>10</v>
      </c>
      <c r="H697" s="38">
        <f>+F697/G697</f>
        <v>4</v>
      </c>
      <c r="I697" s="36">
        <v>28.226604999999999</v>
      </c>
      <c r="J697" s="36">
        <v>40.602460000000001</v>
      </c>
      <c r="K697" s="36">
        <v>0</v>
      </c>
      <c r="L697" s="36">
        <v>0</v>
      </c>
      <c r="M697" s="36">
        <v>-3.3062019999999999</v>
      </c>
      <c r="N697" s="38">
        <f>+M697-O697</f>
        <v>-0.61428700000000003</v>
      </c>
      <c r="O697" s="36">
        <v>-2.6919149999999998</v>
      </c>
      <c r="P697" s="39">
        <v>0</v>
      </c>
      <c r="Q697" s="39">
        <v>0</v>
      </c>
      <c r="R697" s="40">
        <f>SUM(P697:Q697)</f>
        <v>0</v>
      </c>
      <c r="S697" s="39"/>
      <c r="T697" s="41">
        <v>88</v>
      </c>
    </row>
    <row r="698" spans="2:20" ht="15.6" x14ac:dyDescent="0.3">
      <c r="B698" s="28"/>
      <c r="C698" s="28"/>
      <c r="D698" s="28"/>
      <c r="E698" s="28"/>
      <c r="F698" s="28"/>
      <c r="G698" s="43"/>
      <c r="H698" s="44"/>
      <c r="I698" s="30"/>
      <c r="J698" s="30"/>
      <c r="K698" s="30"/>
      <c r="L698" s="30"/>
      <c r="M698" s="30"/>
      <c r="N698" s="45"/>
      <c r="O698" s="30"/>
      <c r="P698" s="30"/>
      <c r="Q698" s="30"/>
      <c r="R698" s="45"/>
      <c r="S698" s="30"/>
      <c r="T698" s="30"/>
    </row>
    <row r="699" spans="2:20" ht="15.6" x14ac:dyDescent="0.3">
      <c r="B699" s="47">
        <f>COUNT(B684:B698)</f>
        <v>12</v>
      </c>
      <c r="C699" s="47"/>
      <c r="D699" s="48"/>
      <c r="E699" s="48"/>
      <c r="F699" s="48">
        <f>SUM(F684:F698)</f>
        <v>17232.918659999999</v>
      </c>
      <c r="G699" s="49"/>
      <c r="H699" s="50">
        <f t="shared" ref="H699:O699" si="115">SUM(H684:H698)</f>
        <v>1823.1598740000002</v>
      </c>
      <c r="I699" s="48">
        <f t="shared" si="115"/>
        <v>66326.546314000007</v>
      </c>
      <c r="J699" s="48">
        <f t="shared" si="115"/>
        <v>116896.59381300001</v>
      </c>
      <c r="K699" s="48">
        <f t="shared" si="115"/>
        <v>106032.57473199999</v>
      </c>
      <c r="L699" s="48">
        <f t="shared" si="115"/>
        <v>4083.6184149999999</v>
      </c>
      <c r="M699" s="48">
        <f t="shared" si="115"/>
        <v>5400.4174320000002</v>
      </c>
      <c r="N699" s="51">
        <f t="shared" si="115"/>
        <v>2015.1128480000002</v>
      </c>
      <c r="O699" s="48">
        <f t="shared" si="115"/>
        <v>3385.304584</v>
      </c>
      <c r="P699" s="52"/>
      <c r="Q699" s="52"/>
      <c r="R699" s="53"/>
      <c r="S699" s="52"/>
      <c r="T699" s="54">
        <f>SUM(T684:T698)</f>
        <v>25292</v>
      </c>
    </row>
    <row r="700" spans="2:20" ht="15.6" x14ac:dyDescent="0.3">
      <c r="B700" s="28"/>
      <c r="C700" s="28"/>
      <c r="D700" s="28"/>
      <c r="E700" s="28"/>
      <c r="F700" s="28"/>
      <c r="G700" s="43"/>
      <c r="H700" s="44"/>
      <c r="I700" s="30"/>
      <c r="J700" s="30"/>
      <c r="K700" s="30"/>
      <c r="L700" s="30"/>
      <c r="M700" s="30"/>
      <c r="N700" s="45"/>
      <c r="O700" s="30"/>
      <c r="P700" s="30"/>
      <c r="Q700" s="30"/>
      <c r="R700" s="45"/>
      <c r="S700" s="30"/>
      <c r="T700" s="30"/>
    </row>
    <row r="701" spans="2:20" ht="15.6" x14ac:dyDescent="0.3">
      <c r="B701" s="28"/>
      <c r="C701" s="28"/>
      <c r="D701" s="28"/>
      <c r="E701" s="28"/>
      <c r="F701" s="28"/>
      <c r="G701" s="43"/>
      <c r="H701" s="44"/>
      <c r="I701" s="30"/>
      <c r="J701" s="30"/>
      <c r="K701" s="30"/>
      <c r="L701" s="30"/>
      <c r="M701" s="30"/>
      <c r="N701" s="45"/>
      <c r="O701" s="30"/>
      <c r="P701" s="30"/>
      <c r="Q701" s="30"/>
      <c r="R701" s="45"/>
      <c r="S701" s="30"/>
      <c r="T701" s="30"/>
    </row>
    <row r="702" spans="2:20" ht="18" x14ac:dyDescent="0.35">
      <c r="B702" s="28"/>
      <c r="C702" s="32">
        <v>32</v>
      </c>
      <c r="D702" s="32" t="s">
        <v>996</v>
      </c>
      <c r="E702" s="61"/>
      <c r="F702" s="61"/>
      <c r="G702" s="43"/>
      <c r="H702" s="44"/>
      <c r="I702" s="30"/>
      <c r="J702" s="30"/>
      <c r="K702" s="30"/>
      <c r="L702" s="30"/>
      <c r="M702" s="30"/>
      <c r="N702" s="45"/>
      <c r="O702" s="30"/>
      <c r="P702" s="30"/>
      <c r="Q702" s="30"/>
      <c r="R702" s="45"/>
      <c r="S702" s="30"/>
      <c r="T702" s="30"/>
    </row>
    <row r="703" spans="2:20" ht="15.6" x14ac:dyDescent="0.3">
      <c r="B703" s="28"/>
      <c r="C703" s="28"/>
      <c r="D703" s="28"/>
      <c r="E703" s="28"/>
      <c r="F703" s="28"/>
      <c r="G703" s="43"/>
      <c r="H703" s="44"/>
      <c r="I703" s="30"/>
      <c r="J703" s="30"/>
      <c r="K703" s="30"/>
      <c r="L703" s="30"/>
      <c r="M703" s="30"/>
      <c r="N703" s="45"/>
      <c r="O703" s="30"/>
      <c r="P703" s="30"/>
      <c r="Q703" s="30"/>
      <c r="R703" s="45"/>
      <c r="S703" s="30"/>
      <c r="T703" s="30"/>
    </row>
    <row r="704" spans="2:20" ht="15.6" x14ac:dyDescent="0.3">
      <c r="B704" s="33">
        <v>1</v>
      </c>
      <c r="C704" s="33" t="s">
        <v>997</v>
      </c>
      <c r="D704" s="34" t="s">
        <v>998</v>
      </c>
      <c r="E704" s="35">
        <v>45838</v>
      </c>
      <c r="F704" s="36">
        <v>77.625380000000007</v>
      </c>
      <c r="G704" s="37">
        <v>10</v>
      </c>
      <c r="H704" s="38">
        <f>+F704/G704</f>
        <v>7.762538000000001</v>
      </c>
      <c r="I704" s="36">
        <v>2577.1635660000002</v>
      </c>
      <c r="J704" s="36">
        <v>4808.0008260000004</v>
      </c>
      <c r="K704" s="36">
        <v>9242.0250579999993</v>
      </c>
      <c r="L704" s="36">
        <v>131.33654000000001</v>
      </c>
      <c r="M704" s="36">
        <v>-64.987759999999994</v>
      </c>
      <c r="N704" s="38">
        <f>+M704-O704</f>
        <v>4.037068000000005</v>
      </c>
      <c r="O704" s="36">
        <v>-69.024827999999999</v>
      </c>
      <c r="P704" s="39">
        <v>0</v>
      </c>
      <c r="Q704" s="39">
        <v>0</v>
      </c>
      <c r="R704" s="40">
        <f>SUM(P704:Q704)</f>
        <v>0</v>
      </c>
      <c r="S704" s="39"/>
      <c r="T704" s="41">
        <v>1716</v>
      </c>
    </row>
    <row r="705" spans="2:20" ht="15.6" x14ac:dyDescent="0.3">
      <c r="B705" s="33">
        <f>+B704+1</f>
        <v>2</v>
      </c>
      <c r="C705" s="33" t="s">
        <v>999</v>
      </c>
      <c r="D705" s="34" t="s">
        <v>1000</v>
      </c>
      <c r="E705" s="35">
        <v>45838</v>
      </c>
      <c r="F705" s="36">
        <v>65.584000000000003</v>
      </c>
      <c r="G705" s="37">
        <v>10</v>
      </c>
      <c r="H705" s="38">
        <f>+F705/G705</f>
        <v>6.5584000000000007</v>
      </c>
      <c r="I705" s="36">
        <v>2172.4246640000001</v>
      </c>
      <c r="J705" s="36">
        <v>3572.6851569999999</v>
      </c>
      <c r="K705" s="36">
        <v>7828.8695360000002</v>
      </c>
      <c r="L705" s="36">
        <v>176.732707</v>
      </c>
      <c r="M705" s="36">
        <v>289.30163099999999</v>
      </c>
      <c r="N705" s="38">
        <f>+M705-O705</f>
        <v>38.668969999999973</v>
      </c>
      <c r="O705" s="36">
        <v>250.63266100000001</v>
      </c>
      <c r="P705" s="39">
        <v>50</v>
      </c>
      <c r="Q705" s="39">
        <v>0</v>
      </c>
      <c r="R705" s="40">
        <f>SUM(P705:Q705)</f>
        <v>50</v>
      </c>
      <c r="S705" s="39"/>
      <c r="T705" s="41">
        <v>1084</v>
      </c>
    </row>
    <row r="706" spans="2:20" ht="15.6" x14ac:dyDescent="0.3">
      <c r="B706" s="28"/>
      <c r="C706" s="28"/>
      <c r="D706" s="28"/>
      <c r="E706" s="28"/>
      <c r="F706" s="28"/>
      <c r="G706" s="43"/>
      <c r="H706" s="44"/>
      <c r="I706" s="30"/>
      <c r="J706" s="30"/>
      <c r="K706" s="30"/>
      <c r="L706" s="30"/>
      <c r="M706" s="30"/>
      <c r="N706" s="45"/>
      <c r="O706" s="30"/>
      <c r="P706" s="30"/>
      <c r="Q706" s="30"/>
      <c r="R706" s="45"/>
      <c r="S706" s="30"/>
      <c r="T706" s="30"/>
    </row>
    <row r="707" spans="2:20" ht="18" x14ac:dyDescent="0.35">
      <c r="B707" s="28"/>
      <c r="C707" s="28"/>
      <c r="D707" s="56" t="s">
        <v>30</v>
      </c>
      <c r="E707" s="28"/>
      <c r="F707" s="28"/>
      <c r="G707" s="43"/>
      <c r="H707" s="44"/>
      <c r="I707" s="30"/>
      <c r="J707" s="30"/>
      <c r="K707" s="30"/>
      <c r="L707" s="30"/>
      <c r="M707" s="30"/>
      <c r="N707" s="45"/>
      <c r="O707" s="30"/>
      <c r="P707" s="30"/>
      <c r="Q707" s="30"/>
      <c r="R707" s="45"/>
      <c r="S707" s="30"/>
      <c r="T707" s="30"/>
    </row>
    <row r="708" spans="2:20" ht="15.6" x14ac:dyDescent="0.3">
      <c r="B708" s="33">
        <v>1</v>
      </c>
      <c r="C708" s="33" t="s">
        <v>1001</v>
      </c>
      <c r="D708" s="34" t="s">
        <v>1002</v>
      </c>
      <c r="E708" s="35">
        <v>45838</v>
      </c>
      <c r="F708" s="36"/>
      <c r="G708" s="37">
        <v>10</v>
      </c>
      <c r="H708" s="38">
        <f>+F708/G708</f>
        <v>0</v>
      </c>
      <c r="I708" s="36"/>
      <c r="J708" s="36"/>
      <c r="K708" s="36"/>
      <c r="L708" s="36"/>
      <c r="M708" s="36"/>
      <c r="N708" s="38">
        <f>+M708-O708</f>
        <v>0</v>
      </c>
      <c r="O708" s="36"/>
      <c r="P708" s="39"/>
      <c r="Q708" s="39"/>
      <c r="R708" s="40">
        <f>SUM(P708:Q708)</f>
        <v>0</v>
      </c>
      <c r="S708" s="39"/>
      <c r="T708" s="41"/>
    </row>
    <row r="709" spans="2:20" ht="15.6" x14ac:dyDescent="0.3">
      <c r="B709" s="28"/>
      <c r="C709" s="28"/>
      <c r="D709" s="28"/>
      <c r="E709" s="28"/>
      <c r="F709" s="28"/>
      <c r="G709" s="43"/>
      <c r="H709" s="44"/>
      <c r="I709" s="30"/>
      <c r="J709" s="30"/>
      <c r="K709" s="30"/>
      <c r="L709" s="30"/>
      <c r="M709" s="30"/>
      <c r="N709" s="45"/>
      <c r="O709" s="30"/>
      <c r="P709" s="30"/>
      <c r="Q709" s="30"/>
      <c r="R709" s="45"/>
      <c r="S709" s="30"/>
      <c r="T709" s="30"/>
    </row>
    <row r="710" spans="2:20" ht="15.6" x14ac:dyDescent="0.3">
      <c r="B710" s="47">
        <f>COUNT(B704:B709)</f>
        <v>3</v>
      </c>
      <c r="C710" s="47"/>
      <c r="D710" s="48"/>
      <c r="E710" s="48"/>
      <c r="F710" s="48">
        <f>SUM(F704:F709)</f>
        <v>143.20938000000001</v>
      </c>
      <c r="G710" s="49"/>
      <c r="H710" s="50">
        <f>SUM(H704:H709)</f>
        <v>14.320938000000002</v>
      </c>
      <c r="I710" s="48">
        <f>SUM(I704:I709)</f>
        <v>4749.5882300000003</v>
      </c>
      <c r="J710" s="48">
        <f>SUM(J704:J709)</f>
        <v>8380.6859829999994</v>
      </c>
      <c r="K710" s="48">
        <f>SUM(K704:K709)</f>
        <v>17070.894593999998</v>
      </c>
      <c r="L710" s="48">
        <f>SUM(L704:L709)</f>
        <v>308.06924700000002</v>
      </c>
      <c r="M710" s="48">
        <f>SUM(M704:M709)</f>
        <v>224.31387100000001</v>
      </c>
      <c r="N710" s="51">
        <f>SUM(N704:N709)</f>
        <v>42.706037999999978</v>
      </c>
      <c r="O710" s="48">
        <f>SUM(O704:O709)</f>
        <v>181.60783300000003</v>
      </c>
      <c r="P710" s="52"/>
      <c r="Q710" s="52"/>
      <c r="R710" s="53"/>
      <c r="S710" s="52"/>
      <c r="T710" s="54">
        <f>SUM(T704:T709)</f>
        <v>2800</v>
      </c>
    </row>
    <row r="711" spans="2:20" ht="15.6" x14ac:dyDescent="0.3">
      <c r="B711" s="28"/>
      <c r="C711" s="28"/>
      <c r="D711" s="28"/>
      <c r="E711" s="28"/>
      <c r="F711" s="28"/>
      <c r="G711" s="43"/>
      <c r="H711" s="44"/>
      <c r="I711" s="30"/>
      <c r="J711" s="30"/>
      <c r="K711" s="30"/>
      <c r="L711" s="30"/>
      <c r="M711" s="30"/>
      <c r="N711" s="45"/>
      <c r="O711" s="30"/>
      <c r="P711" s="30"/>
      <c r="Q711" s="30"/>
      <c r="R711" s="45"/>
      <c r="S711" s="30"/>
      <c r="T711" s="30"/>
    </row>
    <row r="712" spans="2:20" ht="15.6" x14ac:dyDescent="0.3">
      <c r="B712" s="28"/>
      <c r="C712" s="28"/>
      <c r="D712" s="28"/>
      <c r="E712" s="28"/>
      <c r="F712" s="28"/>
      <c r="G712" s="43"/>
      <c r="H712" s="44"/>
      <c r="I712" s="30"/>
      <c r="J712" s="30"/>
      <c r="K712" s="30"/>
      <c r="L712" s="30"/>
      <c r="M712" s="30"/>
      <c r="N712" s="45"/>
      <c r="O712" s="30"/>
      <c r="P712" s="30"/>
      <c r="Q712" s="30"/>
      <c r="R712" s="45"/>
      <c r="S712" s="30"/>
      <c r="T712" s="30"/>
    </row>
    <row r="713" spans="2:20" ht="18" x14ac:dyDescent="0.35">
      <c r="B713" s="28"/>
      <c r="C713" s="32">
        <v>33</v>
      </c>
      <c r="D713" s="32" t="s">
        <v>1003</v>
      </c>
      <c r="E713" s="61"/>
      <c r="F713" s="61"/>
      <c r="G713" s="43"/>
      <c r="H713" s="44"/>
      <c r="I713" s="30"/>
      <c r="J713" s="30"/>
      <c r="K713" s="30"/>
      <c r="L713" s="30"/>
      <c r="M713" s="30"/>
      <c r="N713" s="45"/>
      <c r="O713" s="30"/>
      <c r="P713" s="30"/>
      <c r="Q713" s="30"/>
      <c r="R713" s="45"/>
      <c r="S713" s="30"/>
      <c r="T713" s="30"/>
    </row>
    <row r="714" spans="2:20" ht="15.6" x14ac:dyDescent="0.3">
      <c r="B714" s="28"/>
      <c r="C714" s="28"/>
      <c r="D714" s="28"/>
      <c r="E714" s="28"/>
      <c r="F714" s="28"/>
      <c r="G714" s="43"/>
      <c r="H714" s="44"/>
      <c r="I714" s="30"/>
      <c r="J714" s="30"/>
      <c r="K714" s="30"/>
      <c r="L714" s="30"/>
      <c r="M714" s="30"/>
      <c r="N714" s="45"/>
      <c r="O714" s="30"/>
      <c r="P714" s="30"/>
      <c r="Q714" s="30"/>
      <c r="R714" s="45"/>
      <c r="S714" s="30"/>
      <c r="T714" s="30"/>
    </row>
    <row r="715" spans="2:20" ht="15.6" x14ac:dyDescent="0.3">
      <c r="B715" s="60">
        <v>1</v>
      </c>
      <c r="C715" s="60" t="s">
        <v>1004</v>
      </c>
      <c r="D715" s="34" t="s">
        <v>1005</v>
      </c>
      <c r="E715" s="35">
        <v>46022</v>
      </c>
      <c r="F715" s="36"/>
      <c r="G715" s="37">
        <v>10</v>
      </c>
      <c r="H715" s="38">
        <f>+F715/G715</f>
        <v>0</v>
      </c>
      <c r="I715" s="36"/>
      <c r="J715" s="36"/>
      <c r="K715" s="36"/>
      <c r="L715" s="36"/>
      <c r="M715" s="36"/>
      <c r="N715" s="38">
        <f>+M715-O715</f>
        <v>0</v>
      </c>
      <c r="O715" s="36"/>
      <c r="P715" s="39"/>
      <c r="Q715" s="39"/>
      <c r="R715" s="40">
        <f>SUM(P715:Q715)</f>
        <v>0</v>
      </c>
      <c r="S715" s="39"/>
      <c r="T715" s="41"/>
    </row>
    <row r="716" spans="2:20" ht="15.6" x14ac:dyDescent="0.3">
      <c r="B716" s="60">
        <f>+B715+1</f>
        <v>2</v>
      </c>
      <c r="C716" s="60" t="s">
        <v>1006</v>
      </c>
      <c r="D716" s="34" t="s">
        <v>1007</v>
      </c>
      <c r="E716" s="35">
        <v>45838</v>
      </c>
      <c r="F716" s="36">
        <v>60</v>
      </c>
      <c r="G716" s="37">
        <v>10</v>
      </c>
      <c r="H716" s="38">
        <f>+F716/G716</f>
        <v>6</v>
      </c>
      <c r="I716" s="36">
        <v>15.868791</v>
      </c>
      <c r="J716" s="36">
        <v>21.930589999999999</v>
      </c>
      <c r="K716" s="36">
        <v>12.086202999999999</v>
      </c>
      <c r="L716" s="36">
        <v>0</v>
      </c>
      <c r="M716" s="36">
        <v>-4.5086409999999999</v>
      </c>
      <c r="N716" s="38">
        <f>+M716-O716</f>
        <v>0</v>
      </c>
      <c r="O716" s="36">
        <v>-4.5086409999999999</v>
      </c>
      <c r="P716" s="39">
        <v>0</v>
      </c>
      <c r="Q716" s="39">
        <v>0</v>
      </c>
      <c r="R716" s="40">
        <f>SUM(P716:Q716)</f>
        <v>0</v>
      </c>
      <c r="S716" s="39"/>
      <c r="T716" s="41">
        <v>1369</v>
      </c>
    </row>
    <row r="717" spans="2:20" ht="15.6" x14ac:dyDescent="0.3">
      <c r="B717" s="60">
        <f>+B716+1</f>
        <v>3</v>
      </c>
      <c r="C717" s="60" t="s">
        <v>1008</v>
      </c>
      <c r="D717" s="34" t="s">
        <v>1009</v>
      </c>
      <c r="E717" s="35">
        <v>45838</v>
      </c>
      <c r="F717" s="36">
        <v>34</v>
      </c>
      <c r="G717" s="37">
        <v>10</v>
      </c>
      <c r="H717" s="38">
        <f>+F717/G717</f>
        <v>3.4</v>
      </c>
      <c r="I717" s="36">
        <v>-319.35419400000001</v>
      </c>
      <c r="J717" s="36">
        <v>77.553849</v>
      </c>
      <c r="K717" s="36">
        <v>60.093955000000001</v>
      </c>
      <c r="L717" s="36">
        <v>0.85063699999999998</v>
      </c>
      <c r="M717" s="36">
        <v>9.1828979999999998</v>
      </c>
      <c r="N717" s="38">
        <f>+M717-O717</f>
        <v>0.16029299999999935</v>
      </c>
      <c r="O717" s="36">
        <v>9.0226050000000004</v>
      </c>
      <c r="P717" s="39">
        <v>0</v>
      </c>
      <c r="Q717" s="39">
        <v>0</v>
      </c>
      <c r="R717" s="40">
        <f>SUM(P717:Q717)</f>
        <v>0</v>
      </c>
      <c r="S717" s="39"/>
      <c r="T717" s="41">
        <v>599</v>
      </c>
    </row>
    <row r="718" spans="2:20" ht="15.6" x14ac:dyDescent="0.3">
      <c r="B718" s="60">
        <f>+B717+1</f>
        <v>4</v>
      </c>
      <c r="C718" s="60" t="s">
        <v>1010</v>
      </c>
      <c r="D718" s="34" t="s">
        <v>1011</v>
      </c>
      <c r="E718" s="35">
        <v>46022</v>
      </c>
      <c r="F718" s="36"/>
      <c r="G718" s="37">
        <v>10</v>
      </c>
      <c r="H718" s="38">
        <f>+F718/G718</f>
        <v>0</v>
      </c>
      <c r="I718" s="36"/>
      <c r="J718" s="36"/>
      <c r="K718" s="36"/>
      <c r="L718" s="36"/>
      <c r="M718" s="36"/>
      <c r="N718" s="38">
        <f>+M718-O718</f>
        <v>0</v>
      </c>
      <c r="O718" s="36"/>
      <c r="P718" s="39"/>
      <c r="Q718" s="39"/>
      <c r="R718" s="40">
        <f>SUM(P718:Q718)</f>
        <v>0</v>
      </c>
      <c r="S718" s="39"/>
      <c r="T718" s="41"/>
    </row>
    <row r="719" spans="2:20" ht="15.6" x14ac:dyDescent="0.3">
      <c r="B719" s="60">
        <f>+B718+1</f>
        <v>5</v>
      </c>
      <c r="C719" s="60" t="s">
        <v>1012</v>
      </c>
      <c r="D719" s="34" t="s">
        <v>1013</v>
      </c>
      <c r="E719" s="35">
        <v>46022</v>
      </c>
      <c r="F719" s="36"/>
      <c r="G719" s="37">
        <v>10</v>
      </c>
      <c r="H719" s="38">
        <f>+F719/G719</f>
        <v>0</v>
      </c>
      <c r="I719" s="36"/>
      <c r="J719" s="36"/>
      <c r="K719" s="36"/>
      <c r="L719" s="36"/>
      <c r="M719" s="36"/>
      <c r="N719" s="38">
        <f>+M719-O719</f>
        <v>0</v>
      </c>
      <c r="O719" s="36"/>
      <c r="P719" s="39"/>
      <c r="Q719" s="39"/>
      <c r="R719" s="40">
        <f>SUM(P719:Q719)</f>
        <v>0</v>
      </c>
      <c r="S719" s="39"/>
      <c r="T719" s="41"/>
    </row>
    <row r="720" spans="2:20" ht="15.6" x14ac:dyDescent="0.3">
      <c r="B720" s="28"/>
      <c r="C720" s="28"/>
      <c r="D720" s="28"/>
      <c r="E720" s="28"/>
      <c r="F720" s="28"/>
      <c r="G720" s="43"/>
      <c r="H720" s="44"/>
      <c r="I720" s="30"/>
      <c r="J720" s="30"/>
      <c r="K720" s="30"/>
      <c r="L720" s="30"/>
      <c r="M720" s="30"/>
      <c r="N720" s="45"/>
      <c r="O720" s="30"/>
      <c r="P720" s="30"/>
      <c r="Q720" s="30"/>
      <c r="R720" s="45"/>
      <c r="S720" s="30"/>
      <c r="T720" s="30"/>
    </row>
    <row r="721" spans="2:20" ht="18" x14ac:dyDescent="0.35">
      <c r="B721" s="28"/>
      <c r="C721" s="28"/>
      <c r="D721" s="56" t="s">
        <v>30</v>
      </c>
      <c r="E721" s="28"/>
      <c r="F721" s="28"/>
      <c r="G721" s="43"/>
      <c r="H721" s="44"/>
      <c r="I721" s="30"/>
      <c r="J721" s="30"/>
      <c r="K721" s="30"/>
      <c r="L721" s="30"/>
      <c r="M721" s="30"/>
      <c r="N721" s="45"/>
      <c r="O721" s="30"/>
      <c r="P721" s="30"/>
      <c r="Q721" s="30"/>
      <c r="R721" s="45"/>
      <c r="S721" s="30"/>
      <c r="T721" s="30"/>
    </row>
    <row r="722" spans="2:20" ht="15.6" x14ac:dyDescent="0.3">
      <c r="B722" s="60">
        <v>1</v>
      </c>
      <c r="C722" s="60" t="s">
        <v>1014</v>
      </c>
      <c r="D722" s="34" t="s">
        <v>1015</v>
      </c>
      <c r="E722" s="35">
        <v>45838</v>
      </c>
      <c r="F722" s="36">
        <v>20</v>
      </c>
      <c r="G722" s="37">
        <v>10</v>
      </c>
      <c r="H722" s="38">
        <f>+F722/G722</f>
        <v>2</v>
      </c>
      <c r="I722" s="36">
        <v>244.138724</v>
      </c>
      <c r="J722" s="36">
        <v>410.66377899999998</v>
      </c>
      <c r="K722" s="36">
        <v>0.17144999999999999</v>
      </c>
      <c r="L722" s="36">
        <v>1.964E-3</v>
      </c>
      <c r="M722" s="36">
        <v>112.88665399999999</v>
      </c>
      <c r="N722" s="38">
        <f>+M722-O722</f>
        <v>6.7989999999866768E-3</v>
      </c>
      <c r="O722" s="36">
        <v>112.87985500000001</v>
      </c>
      <c r="P722" s="39">
        <v>0</v>
      </c>
      <c r="Q722" s="39">
        <v>0</v>
      </c>
      <c r="R722" s="40">
        <f>SUM(P722:Q722)</f>
        <v>0</v>
      </c>
      <c r="S722" s="39"/>
      <c r="T722" s="41">
        <v>156</v>
      </c>
    </row>
    <row r="723" spans="2:20" ht="15.6" x14ac:dyDescent="0.3">
      <c r="B723" s="28"/>
      <c r="C723" s="28"/>
      <c r="D723" s="28"/>
      <c r="E723" s="28"/>
      <c r="F723" s="28"/>
      <c r="G723" s="43"/>
      <c r="H723" s="44"/>
      <c r="I723" s="30"/>
      <c r="J723" s="30"/>
      <c r="K723" s="30"/>
      <c r="L723" s="30"/>
      <c r="M723" s="30"/>
      <c r="N723" s="45"/>
      <c r="O723" s="30"/>
      <c r="P723" s="30"/>
      <c r="Q723" s="30"/>
      <c r="R723" s="45"/>
      <c r="S723" s="30"/>
      <c r="T723" s="30"/>
    </row>
    <row r="724" spans="2:20" ht="15.6" x14ac:dyDescent="0.3">
      <c r="B724" s="47">
        <f>COUNT(B715:B723)</f>
        <v>6</v>
      </c>
      <c r="C724" s="47"/>
      <c r="D724" s="48"/>
      <c r="E724" s="48"/>
      <c r="F724" s="48">
        <f>SUM(F715:F723)</f>
        <v>114</v>
      </c>
      <c r="G724" s="49"/>
      <c r="H724" s="50">
        <f t="shared" ref="H724:O724" si="116">SUM(H715:H723)</f>
        <v>11.4</v>
      </c>
      <c r="I724" s="48">
        <f t="shared" si="116"/>
        <v>-59.346679000000023</v>
      </c>
      <c r="J724" s="48">
        <f t="shared" si="116"/>
        <v>510.14821799999999</v>
      </c>
      <c r="K724" s="48">
        <f t="shared" si="116"/>
        <v>72.351607999999999</v>
      </c>
      <c r="L724" s="48">
        <f t="shared" si="116"/>
        <v>0.85260099999999994</v>
      </c>
      <c r="M724" s="48">
        <f t="shared" si="116"/>
        <v>117.56091099999999</v>
      </c>
      <c r="N724" s="51">
        <f t="shared" si="116"/>
        <v>0.16709199999998603</v>
      </c>
      <c r="O724" s="48">
        <f t="shared" si="116"/>
        <v>117.39381900000001</v>
      </c>
      <c r="P724" s="52"/>
      <c r="Q724" s="52"/>
      <c r="R724" s="53"/>
      <c r="S724" s="52"/>
      <c r="T724" s="54">
        <f>SUM(T715:T723)</f>
        <v>2124</v>
      </c>
    </row>
    <row r="725" spans="2:20" ht="15.6" x14ac:dyDescent="0.3">
      <c r="B725" s="28"/>
      <c r="C725" s="28"/>
      <c r="D725" s="28"/>
      <c r="E725" s="28"/>
      <c r="F725" s="28"/>
      <c r="G725" s="43"/>
      <c r="H725" s="44"/>
      <c r="I725" s="30"/>
      <c r="J725" s="30"/>
      <c r="K725" s="30"/>
      <c r="L725" s="30"/>
      <c r="M725" s="30"/>
      <c r="N725" s="45"/>
      <c r="O725" s="30"/>
      <c r="P725" s="30"/>
      <c r="Q725" s="30"/>
      <c r="R725" s="45"/>
      <c r="S725" s="30"/>
      <c r="T725" s="30"/>
    </row>
    <row r="726" spans="2:20" ht="15.6" x14ac:dyDescent="0.3">
      <c r="B726" s="28"/>
      <c r="C726" s="28"/>
      <c r="D726" s="28"/>
      <c r="E726" s="28"/>
      <c r="F726" s="28"/>
      <c r="G726" s="43"/>
      <c r="H726" s="44"/>
      <c r="I726" s="30"/>
      <c r="J726" s="30"/>
      <c r="K726" s="30"/>
      <c r="L726" s="30"/>
      <c r="M726" s="30"/>
      <c r="N726" s="45"/>
      <c r="O726" s="30"/>
      <c r="P726" s="30"/>
      <c r="Q726" s="30"/>
      <c r="R726" s="45"/>
      <c r="S726" s="30"/>
      <c r="T726" s="30"/>
    </row>
    <row r="727" spans="2:20" ht="18" x14ac:dyDescent="0.35">
      <c r="B727" s="28"/>
      <c r="C727" s="32">
        <v>34</v>
      </c>
      <c r="D727" s="32" t="s">
        <v>1016</v>
      </c>
      <c r="E727" s="61"/>
      <c r="F727" s="61"/>
      <c r="G727" s="43"/>
      <c r="H727" s="44"/>
      <c r="I727" s="30"/>
      <c r="J727" s="30"/>
      <c r="K727" s="30"/>
      <c r="L727" s="30"/>
      <c r="M727" s="30"/>
      <c r="N727" s="45"/>
      <c r="O727" s="30"/>
      <c r="P727" s="30"/>
      <c r="Q727" s="30"/>
      <c r="R727" s="45"/>
      <c r="S727" s="30"/>
      <c r="T727" s="30"/>
    </row>
    <row r="728" spans="2:20" ht="15.6" x14ac:dyDescent="0.3">
      <c r="B728" s="28"/>
      <c r="C728" s="28"/>
      <c r="D728" s="28"/>
      <c r="E728" s="28"/>
      <c r="F728" s="28"/>
      <c r="G728" s="43"/>
      <c r="H728" s="44"/>
      <c r="I728" s="30"/>
      <c r="J728" s="30"/>
      <c r="K728" s="30"/>
      <c r="L728" s="30"/>
      <c r="M728" s="30"/>
      <c r="N728" s="45"/>
      <c r="O728" s="30"/>
      <c r="P728" s="30"/>
      <c r="Q728" s="30"/>
      <c r="R728" s="45"/>
      <c r="S728" s="30"/>
      <c r="T728" s="30"/>
    </row>
    <row r="729" spans="2:20" ht="15.6" x14ac:dyDescent="0.3">
      <c r="B729" s="33">
        <v>1</v>
      </c>
      <c r="C729" s="33" t="s">
        <v>1017</v>
      </c>
      <c r="D729" s="34" t="s">
        <v>1018</v>
      </c>
      <c r="E729" s="35">
        <v>45838</v>
      </c>
      <c r="F729" s="36">
        <v>309.99038400000001</v>
      </c>
      <c r="G729" s="37">
        <v>1</v>
      </c>
      <c r="H729" s="38">
        <f>+F729/G729</f>
        <v>309.99038400000001</v>
      </c>
      <c r="I729" s="36">
        <v>3099.341668</v>
      </c>
      <c r="J729" s="36">
        <v>3841.8158589999998</v>
      </c>
      <c r="K729" s="36">
        <v>7247.0003290000004</v>
      </c>
      <c r="L729" s="36">
        <v>78.934179</v>
      </c>
      <c r="M729" s="36">
        <v>738.66657499999997</v>
      </c>
      <c r="N729" s="38">
        <f>+M729-O729</f>
        <v>-3.0200940000000855</v>
      </c>
      <c r="O729" s="36">
        <v>741.68666900000005</v>
      </c>
      <c r="P729" s="39">
        <v>0</v>
      </c>
      <c r="Q729" s="39">
        <v>0</v>
      </c>
      <c r="R729" s="40">
        <f>SUM(P729:Q729)</f>
        <v>0</v>
      </c>
      <c r="S729" s="39"/>
      <c r="T729" s="41">
        <v>7530</v>
      </c>
    </row>
    <row r="730" spans="2:20" ht="15.6" x14ac:dyDescent="0.3">
      <c r="B730" s="33">
        <f>+B729+1</f>
        <v>2</v>
      </c>
      <c r="C730" s="33" t="s">
        <v>1019</v>
      </c>
      <c r="D730" s="34" t="s">
        <v>1020</v>
      </c>
      <c r="E730" s="35">
        <v>45838</v>
      </c>
      <c r="F730" s="36">
        <v>2989.0578599999999</v>
      </c>
      <c r="G730" s="37">
        <v>10</v>
      </c>
      <c r="H730" s="38">
        <f>+F730/G730</f>
        <v>298.90578599999998</v>
      </c>
      <c r="I730" s="36">
        <v>7860.9273649999996</v>
      </c>
      <c r="J730" s="36">
        <v>12499.259334</v>
      </c>
      <c r="K730" s="36">
        <v>11364.831289</v>
      </c>
      <c r="L730" s="36">
        <v>343.54693600000002</v>
      </c>
      <c r="M730" s="36">
        <v>1563.0205960000001</v>
      </c>
      <c r="N730" s="38">
        <f>+M730-O730</f>
        <v>396.42274599999996</v>
      </c>
      <c r="O730" s="36">
        <v>1166.5978500000001</v>
      </c>
      <c r="P730" s="39">
        <v>0</v>
      </c>
      <c r="Q730" s="39">
        <v>0</v>
      </c>
      <c r="R730" s="40">
        <f>SUM(P730:Q730)</f>
        <v>0</v>
      </c>
      <c r="S730" s="39"/>
      <c r="T730" s="41">
        <v>6391</v>
      </c>
    </row>
    <row r="731" spans="2:20" ht="15.6" x14ac:dyDescent="0.3">
      <c r="B731" s="33">
        <f>+B730+1</f>
        <v>3</v>
      </c>
      <c r="C731" s="60" t="s">
        <v>1021</v>
      </c>
      <c r="D731" s="46" t="s">
        <v>1022</v>
      </c>
      <c r="E731" s="35">
        <v>45838</v>
      </c>
      <c r="F731" s="36">
        <v>668.05268999999998</v>
      </c>
      <c r="G731" s="37">
        <v>10</v>
      </c>
      <c r="H731" s="38">
        <f>+F731/G731</f>
        <v>66.805268999999996</v>
      </c>
      <c r="I731" s="36">
        <v>2647.445569</v>
      </c>
      <c r="J731" s="36">
        <v>4729.3553400000001</v>
      </c>
      <c r="K731" s="36">
        <v>7380.3477579999999</v>
      </c>
      <c r="L731" s="36">
        <v>200.79172299999999</v>
      </c>
      <c r="M731" s="36">
        <v>339.12526800000001</v>
      </c>
      <c r="N731" s="38">
        <f>+M731-O731</f>
        <v>29.573532999999998</v>
      </c>
      <c r="O731" s="36">
        <v>309.55173500000001</v>
      </c>
      <c r="P731" s="39">
        <v>0</v>
      </c>
      <c r="Q731" s="39">
        <v>0</v>
      </c>
      <c r="R731" s="40">
        <f>SUM(P731:Q731)</f>
        <v>0</v>
      </c>
      <c r="S731" s="39"/>
      <c r="T731" s="41">
        <v>3553</v>
      </c>
    </row>
    <row r="732" spans="2:20" ht="15.6" x14ac:dyDescent="0.3">
      <c r="B732" s="33">
        <f>+B731+1</f>
        <v>4</v>
      </c>
      <c r="C732" s="33" t="s">
        <v>1023</v>
      </c>
      <c r="D732" s="34" t="s">
        <v>1024</v>
      </c>
      <c r="E732" s="35">
        <v>45838</v>
      </c>
      <c r="F732" s="36">
        <v>389.28300000000002</v>
      </c>
      <c r="G732" s="37">
        <v>10</v>
      </c>
      <c r="H732" s="38">
        <f t="shared" ref="H732:H753" si="117">+F732/G732</f>
        <v>38.9283</v>
      </c>
      <c r="I732" s="36">
        <v>531.91099999999994</v>
      </c>
      <c r="J732" s="36">
        <v>653.63199999999995</v>
      </c>
      <c r="K732" s="36">
        <v>3677.864</v>
      </c>
      <c r="L732" s="36">
        <v>0.48099999999999998</v>
      </c>
      <c r="M732" s="36">
        <v>214.66499999999999</v>
      </c>
      <c r="N732" s="38">
        <f t="shared" ref="N732:N753" si="118">+M732-O732</f>
        <v>-38.733000000000004</v>
      </c>
      <c r="O732" s="36">
        <v>253.398</v>
      </c>
      <c r="P732" s="39">
        <v>0</v>
      </c>
      <c r="Q732" s="39">
        <f>25</f>
        <v>25</v>
      </c>
      <c r="R732" s="40">
        <f t="shared" ref="R732:R753" si="119">SUM(P732:Q732)</f>
        <v>25</v>
      </c>
      <c r="S732" s="39"/>
      <c r="T732" s="41">
        <v>3651</v>
      </c>
    </row>
    <row r="733" spans="2:20" ht="15.6" x14ac:dyDescent="0.3">
      <c r="B733" s="33">
        <f t="shared" ref="B733:B753" si="120">+B732+1</f>
        <v>5</v>
      </c>
      <c r="C733" s="60" t="s">
        <v>1025</v>
      </c>
      <c r="D733" s="34" t="s">
        <v>1026</v>
      </c>
      <c r="E733" s="35">
        <v>45838</v>
      </c>
      <c r="F733" s="36">
        <v>2427.73288</v>
      </c>
      <c r="G733" s="37">
        <v>10</v>
      </c>
      <c r="H733" s="38">
        <f>+F733/G733</f>
        <v>242.77328800000001</v>
      </c>
      <c r="I733" s="36">
        <v>37216.517999999996</v>
      </c>
      <c r="J733" s="36">
        <v>56820.747000000003</v>
      </c>
      <c r="K733" s="36">
        <v>116000.701</v>
      </c>
      <c r="L733" s="36">
        <v>166.26599999999999</v>
      </c>
      <c r="M733" s="36">
        <v>29118.659</v>
      </c>
      <c r="N733" s="38">
        <f>+M733-O733</f>
        <v>10721.385999999999</v>
      </c>
      <c r="O733" s="36">
        <v>18397.273000000001</v>
      </c>
      <c r="P733" s="39">
        <f>320+295</f>
        <v>615</v>
      </c>
      <c r="Q733" s="39">
        <v>0</v>
      </c>
      <c r="R733" s="40">
        <f>SUM(P733:Q733)</f>
        <v>615</v>
      </c>
      <c r="S733" s="39"/>
      <c r="T733" s="41">
        <v>5266</v>
      </c>
    </row>
    <row r="734" spans="2:20" ht="15.6" x14ac:dyDescent="0.3">
      <c r="B734" s="33">
        <f t="shared" si="120"/>
        <v>6</v>
      </c>
      <c r="C734" s="33" t="s">
        <v>1027</v>
      </c>
      <c r="D734" s="34" t="s">
        <v>1028</v>
      </c>
      <c r="E734" s="35">
        <v>46022</v>
      </c>
      <c r="F734" s="36"/>
      <c r="G734" s="37">
        <v>10</v>
      </c>
      <c r="H734" s="38">
        <f t="shared" si="117"/>
        <v>0</v>
      </c>
      <c r="I734" s="36"/>
      <c r="J734" s="36"/>
      <c r="K734" s="36"/>
      <c r="L734" s="36"/>
      <c r="M734" s="36"/>
      <c r="N734" s="38">
        <f t="shared" si="118"/>
        <v>0</v>
      </c>
      <c r="O734" s="36"/>
      <c r="P734" s="39"/>
      <c r="Q734" s="39"/>
      <c r="R734" s="40">
        <f t="shared" si="119"/>
        <v>0</v>
      </c>
      <c r="S734" s="39"/>
      <c r="T734" s="41"/>
    </row>
    <row r="735" spans="2:20" ht="15.6" x14ac:dyDescent="0.3">
      <c r="B735" s="33">
        <f t="shared" si="120"/>
        <v>7</v>
      </c>
      <c r="C735" s="33" t="s">
        <v>1029</v>
      </c>
      <c r="D735" s="34" t="s">
        <v>1030</v>
      </c>
      <c r="E735" s="35">
        <v>46022</v>
      </c>
      <c r="F735" s="36">
        <v>25199.631389999999</v>
      </c>
      <c r="G735" s="37">
        <v>10</v>
      </c>
      <c r="H735" s="38">
        <f t="shared" si="117"/>
        <v>2519.963139</v>
      </c>
      <c r="I735" s="36"/>
      <c r="J735" s="36"/>
      <c r="K735" s="36"/>
      <c r="L735" s="36"/>
      <c r="M735" s="36">
        <v>1699.0329999999999</v>
      </c>
      <c r="N735" s="38">
        <f t="shared" si="118"/>
        <v>544.97399999999993</v>
      </c>
      <c r="O735" s="36">
        <v>1154.059</v>
      </c>
      <c r="P735" s="39">
        <v>0</v>
      </c>
      <c r="Q735" s="39">
        <v>0</v>
      </c>
      <c r="R735" s="40">
        <f t="shared" si="119"/>
        <v>0</v>
      </c>
      <c r="S735" s="39"/>
      <c r="T735" s="41"/>
    </row>
    <row r="736" spans="2:20" ht="15.6" x14ac:dyDescent="0.3">
      <c r="B736" s="33">
        <f t="shared" si="120"/>
        <v>8</v>
      </c>
      <c r="C736" s="33" t="s">
        <v>1031</v>
      </c>
      <c r="D736" s="34" t="s">
        <v>1032</v>
      </c>
      <c r="E736" s="35">
        <v>45838</v>
      </c>
      <c r="F736" s="36">
        <v>3</v>
      </c>
      <c r="G736" s="37">
        <v>10</v>
      </c>
      <c r="H736" s="38">
        <f t="shared" si="117"/>
        <v>0.3</v>
      </c>
      <c r="I736" s="36">
        <v>1009.926903</v>
      </c>
      <c r="J736" s="36">
        <v>1084.774795</v>
      </c>
      <c r="K736" s="36">
        <v>1606.6351070000001</v>
      </c>
      <c r="L736" s="36">
        <v>3.2011999999999999E-2</v>
      </c>
      <c r="M736" s="36">
        <v>5.1241849999999998</v>
      </c>
      <c r="N736" s="38">
        <f t="shared" si="118"/>
        <v>1.7192949999999998</v>
      </c>
      <c r="O736" s="36">
        <v>3.40489</v>
      </c>
      <c r="P736" s="39">
        <v>30</v>
      </c>
      <c r="Q736" s="39">
        <v>0</v>
      </c>
      <c r="R736" s="40">
        <f t="shared" si="119"/>
        <v>30</v>
      </c>
      <c r="S736" s="39"/>
      <c r="T736" s="41">
        <v>79</v>
      </c>
    </row>
    <row r="737" spans="2:20" ht="15.6" x14ac:dyDescent="0.3">
      <c r="B737" s="33">
        <f t="shared" si="120"/>
        <v>9</v>
      </c>
      <c r="C737" s="60" t="s">
        <v>1033</v>
      </c>
      <c r="D737" s="34" t="s">
        <v>1034</v>
      </c>
      <c r="E737" s="35">
        <v>45838</v>
      </c>
      <c r="F737" s="36">
        <v>318.72000000000003</v>
      </c>
      <c r="G737" s="37">
        <v>10</v>
      </c>
      <c r="H737" s="38">
        <f t="shared" si="117"/>
        <v>31.872000000000003</v>
      </c>
      <c r="I737" s="36">
        <v>1096.836</v>
      </c>
      <c r="J737" s="36">
        <v>1598.83</v>
      </c>
      <c r="K737" s="36">
        <v>1719.8510000000001</v>
      </c>
      <c r="L737" s="36">
        <v>0.14699999999999999</v>
      </c>
      <c r="M737" s="36">
        <v>-56.491</v>
      </c>
      <c r="N737" s="38">
        <f t="shared" si="118"/>
        <v>-30.541</v>
      </c>
      <c r="O737" s="36">
        <v>-25.95</v>
      </c>
      <c r="P737" s="39">
        <v>0</v>
      </c>
      <c r="Q737" s="39">
        <v>0</v>
      </c>
      <c r="R737" s="40">
        <f t="shared" si="119"/>
        <v>0</v>
      </c>
      <c r="S737" s="39"/>
      <c r="T737" s="41">
        <v>1049</v>
      </c>
    </row>
    <row r="738" spans="2:20" ht="15.6" x14ac:dyDescent="0.3">
      <c r="B738" s="33">
        <f t="shared" si="120"/>
        <v>10</v>
      </c>
      <c r="C738" s="33" t="s">
        <v>1035</v>
      </c>
      <c r="D738" s="34" t="s">
        <v>1036</v>
      </c>
      <c r="E738" s="35">
        <v>45838</v>
      </c>
      <c r="F738" s="36">
        <v>663.56939999999997</v>
      </c>
      <c r="G738" s="37">
        <v>10</v>
      </c>
      <c r="H738" s="38">
        <f t="shared" si="117"/>
        <v>66.356939999999994</v>
      </c>
      <c r="I738" s="36">
        <v>29423.720851999999</v>
      </c>
      <c r="J738" s="36">
        <v>102104.604093</v>
      </c>
      <c r="K738" s="36">
        <v>105192.599122</v>
      </c>
      <c r="L738" s="36">
        <v>5047.2315939999999</v>
      </c>
      <c r="M738" s="36">
        <v>7755.4950220000001</v>
      </c>
      <c r="N738" s="38">
        <f t="shared" si="118"/>
        <v>2006.0038569999997</v>
      </c>
      <c r="O738" s="36">
        <v>5749.4911650000004</v>
      </c>
      <c r="P738" s="39">
        <v>50</v>
      </c>
      <c r="Q738" s="39">
        <v>0</v>
      </c>
      <c r="R738" s="40">
        <f t="shared" si="119"/>
        <v>50</v>
      </c>
      <c r="S738" s="39"/>
      <c r="T738" s="41">
        <v>1590</v>
      </c>
    </row>
    <row r="739" spans="2:20" ht="15.6" x14ac:dyDescent="0.3">
      <c r="B739" s="33">
        <f t="shared" si="120"/>
        <v>11</v>
      </c>
      <c r="C739" s="33" t="s">
        <v>1037</v>
      </c>
      <c r="D739" s="34" t="s">
        <v>1038</v>
      </c>
      <c r="E739" s="35">
        <v>45838</v>
      </c>
      <c r="F739" s="36">
        <v>228.75</v>
      </c>
      <c r="G739" s="37">
        <v>10</v>
      </c>
      <c r="H739" s="38">
        <f t="shared" si="117"/>
        <v>22.875</v>
      </c>
      <c r="I739" s="36">
        <v>580.82461999999998</v>
      </c>
      <c r="J739" s="36">
        <v>1998.3284450000001</v>
      </c>
      <c r="K739" s="36">
        <v>2662.735451</v>
      </c>
      <c r="L739" s="36">
        <v>85.354483000000002</v>
      </c>
      <c r="M739" s="36">
        <v>7.1910170000000004</v>
      </c>
      <c r="N739" s="38">
        <f t="shared" si="118"/>
        <v>5.5174830000000004</v>
      </c>
      <c r="O739" s="36">
        <v>1.6735340000000001</v>
      </c>
      <c r="P739" s="39">
        <v>0</v>
      </c>
      <c r="Q739" s="39">
        <v>0</v>
      </c>
      <c r="R739" s="40">
        <f t="shared" si="119"/>
        <v>0</v>
      </c>
      <c r="S739" s="39"/>
      <c r="T739" s="41">
        <v>2140</v>
      </c>
    </row>
    <row r="740" spans="2:20" ht="15.6" x14ac:dyDescent="0.3">
      <c r="B740" s="33">
        <f t="shared" si="120"/>
        <v>12</v>
      </c>
      <c r="C740" s="33" t="s">
        <v>1039</v>
      </c>
      <c r="D740" s="34" t="s">
        <v>1040</v>
      </c>
      <c r="E740" s="35">
        <v>45838</v>
      </c>
      <c r="F740" s="36">
        <v>1224.0069800000001</v>
      </c>
      <c r="G740" s="37">
        <v>10</v>
      </c>
      <c r="H740" s="38">
        <f t="shared" si="117"/>
        <v>122.40069800000001</v>
      </c>
      <c r="I740" s="36">
        <v>10402.909449999999</v>
      </c>
      <c r="J740" s="36">
        <v>29962.45535</v>
      </c>
      <c r="K740" s="36">
        <v>26654.376270000001</v>
      </c>
      <c r="L740" s="36">
        <v>1854.110081</v>
      </c>
      <c r="M740" s="36">
        <v>490.19012600000002</v>
      </c>
      <c r="N740" s="38">
        <f t="shared" si="118"/>
        <v>76.292812000000026</v>
      </c>
      <c r="O740" s="36">
        <v>413.89731399999999</v>
      </c>
      <c r="P740" s="39">
        <v>0</v>
      </c>
      <c r="Q740" s="39">
        <v>0</v>
      </c>
      <c r="R740" s="40">
        <f t="shared" si="119"/>
        <v>0</v>
      </c>
      <c r="S740" s="39"/>
      <c r="T740" s="41">
        <v>1483</v>
      </c>
    </row>
    <row r="741" spans="2:20" ht="15.6" x14ac:dyDescent="0.3">
      <c r="B741" s="33">
        <f t="shared" si="120"/>
        <v>13</v>
      </c>
      <c r="C741" s="60" t="s">
        <v>1041</v>
      </c>
      <c r="D741" s="34" t="s">
        <v>1042</v>
      </c>
      <c r="E741" s="35">
        <v>45838</v>
      </c>
      <c r="F741" s="36">
        <v>276.63630999999998</v>
      </c>
      <c r="G741" s="37">
        <v>10</v>
      </c>
      <c r="H741" s="38">
        <f t="shared" si="117"/>
        <v>27.663630999999999</v>
      </c>
      <c r="I741" s="36">
        <v>17237.681</v>
      </c>
      <c r="J741" s="36">
        <v>23293.627</v>
      </c>
      <c r="K741" s="36">
        <v>28562.598999999998</v>
      </c>
      <c r="L741" s="36">
        <v>6.82</v>
      </c>
      <c r="M741" s="36">
        <v>5326.1840000000002</v>
      </c>
      <c r="N741" s="38">
        <f t="shared" si="118"/>
        <v>2064.1320000000001</v>
      </c>
      <c r="O741" s="36">
        <v>3262.0520000000001</v>
      </c>
      <c r="P741" s="39">
        <f>50+120+100+145</f>
        <v>415</v>
      </c>
      <c r="Q741" s="39">
        <v>0</v>
      </c>
      <c r="R741" s="40">
        <f t="shared" si="119"/>
        <v>415</v>
      </c>
      <c r="S741" s="39"/>
      <c r="T741" s="41">
        <v>1475</v>
      </c>
    </row>
    <row r="742" spans="2:20" ht="15.6" x14ac:dyDescent="0.3">
      <c r="B742" s="33">
        <f t="shared" si="120"/>
        <v>14</v>
      </c>
      <c r="C742" s="33" t="s">
        <v>1043</v>
      </c>
      <c r="D742" s="34" t="s">
        <v>1044</v>
      </c>
      <c r="E742" s="35">
        <v>45838</v>
      </c>
      <c r="F742" s="36">
        <v>1165.5762500000001</v>
      </c>
      <c r="G742" s="37">
        <v>5</v>
      </c>
      <c r="H742" s="38">
        <f t="shared" si="117"/>
        <v>233.11525</v>
      </c>
      <c r="I742" s="36">
        <v>8510.6790000000001</v>
      </c>
      <c r="J742" s="36">
        <v>25824.41</v>
      </c>
      <c r="K742" s="36">
        <v>44587.462</v>
      </c>
      <c r="L742" s="36">
        <v>1263.4169999999999</v>
      </c>
      <c r="M742" s="36">
        <v>3531.9989999999998</v>
      </c>
      <c r="N742" s="38">
        <f t="shared" si="118"/>
        <v>350.59899999999971</v>
      </c>
      <c r="O742" s="36">
        <v>3181.4</v>
      </c>
      <c r="P742" s="39">
        <f>40+40+100</f>
        <v>180</v>
      </c>
      <c r="Q742" s="39">
        <v>0</v>
      </c>
      <c r="R742" s="40">
        <f t="shared" si="119"/>
        <v>180</v>
      </c>
      <c r="S742" s="39"/>
      <c r="T742" s="41">
        <v>5860</v>
      </c>
    </row>
    <row r="743" spans="2:20" ht="15.6" x14ac:dyDescent="0.3">
      <c r="B743" s="33">
        <f t="shared" si="120"/>
        <v>15</v>
      </c>
      <c r="C743" s="33" t="s">
        <v>1045</v>
      </c>
      <c r="D743" s="34" t="s">
        <v>1046</v>
      </c>
      <c r="E743" s="35">
        <v>46022</v>
      </c>
      <c r="F743" s="36">
        <v>453.49583999999999</v>
      </c>
      <c r="G743" s="37">
        <v>10</v>
      </c>
      <c r="H743" s="38">
        <f t="shared" si="117"/>
        <v>45.349584</v>
      </c>
      <c r="I743" s="36"/>
      <c r="J743" s="36"/>
      <c r="K743" s="36"/>
      <c r="L743" s="36"/>
      <c r="M743" s="36"/>
      <c r="N743" s="38">
        <f t="shared" si="118"/>
        <v>0</v>
      </c>
      <c r="O743" s="36"/>
      <c r="P743" s="39">
        <f>2230+780</f>
        <v>3010</v>
      </c>
      <c r="Q743" s="39"/>
      <c r="R743" s="40">
        <f t="shared" si="119"/>
        <v>3010</v>
      </c>
      <c r="S743" s="39"/>
      <c r="T743" s="41"/>
    </row>
    <row r="744" spans="2:20" ht="15.6" x14ac:dyDescent="0.3">
      <c r="B744" s="33">
        <f t="shared" si="120"/>
        <v>16</v>
      </c>
      <c r="C744" s="33" t="s">
        <v>1047</v>
      </c>
      <c r="D744" s="34" t="s">
        <v>1048</v>
      </c>
      <c r="E744" s="35">
        <v>45838</v>
      </c>
      <c r="F744" s="36">
        <v>2186.3942999999999</v>
      </c>
      <c r="G744" s="37">
        <v>10</v>
      </c>
      <c r="H744" s="38">
        <f t="shared" si="117"/>
        <v>218.63943</v>
      </c>
      <c r="I744" s="36">
        <v>6105.6390000000001</v>
      </c>
      <c r="J744" s="36">
        <v>8825.1569999999992</v>
      </c>
      <c r="K744" s="36">
        <v>10650.884</v>
      </c>
      <c r="L744" s="36">
        <v>245.18700000000001</v>
      </c>
      <c r="M744" s="36">
        <v>585.51199999999994</v>
      </c>
      <c r="N744" s="38">
        <f t="shared" si="118"/>
        <v>57.362999999999943</v>
      </c>
      <c r="O744" s="36">
        <v>528.149</v>
      </c>
      <c r="P744" s="39">
        <v>0</v>
      </c>
      <c r="Q744" s="39">
        <v>0</v>
      </c>
      <c r="R744" s="40">
        <f t="shared" si="119"/>
        <v>0</v>
      </c>
      <c r="S744" s="39"/>
      <c r="T744" s="41">
        <v>10272</v>
      </c>
    </row>
    <row r="745" spans="2:20" ht="15.6" x14ac:dyDescent="0.3">
      <c r="B745" s="33">
        <f t="shared" si="120"/>
        <v>17</v>
      </c>
      <c r="C745" s="33" t="s">
        <v>1049</v>
      </c>
      <c r="D745" s="34" t="s">
        <v>1050</v>
      </c>
      <c r="E745" s="35">
        <v>45838</v>
      </c>
      <c r="F745" s="36">
        <v>984.61828000000003</v>
      </c>
      <c r="G745" s="37">
        <v>10</v>
      </c>
      <c r="H745" s="38">
        <f t="shared" si="117"/>
        <v>98.461827999999997</v>
      </c>
      <c r="I745" s="36">
        <v>455.09268600000001</v>
      </c>
      <c r="J745" s="36">
        <v>1703.552608</v>
      </c>
      <c r="K745" s="36">
        <v>1094.764441</v>
      </c>
      <c r="L745" s="36">
        <v>6.2288999999999997E-2</v>
      </c>
      <c r="M745" s="36">
        <v>-11.730559</v>
      </c>
      <c r="N745" s="38">
        <f t="shared" si="118"/>
        <v>0</v>
      </c>
      <c r="O745" s="36">
        <v>-11.730559</v>
      </c>
      <c r="P745" s="39">
        <v>0</v>
      </c>
      <c r="Q745" s="39">
        <v>0</v>
      </c>
      <c r="R745" s="40">
        <f t="shared" si="119"/>
        <v>0</v>
      </c>
      <c r="S745" s="39"/>
      <c r="T745" s="41">
        <v>4453</v>
      </c>
    </row>
    <row r="746" spans="2:20" ht="15.6" x14ac:dyDescent="0.3">
      <c r="B746" s="33">
        <f t="shared" si="120"/>
        <v>18</v>
      </c>
      <c r="C746" s="33" t="s">
        <v>1051</v>
      </c>
      <c r="D746" s="34" t="s">
        <v>1052</v>
      </c>
      <c r="E746" s="35">
        <v>46022</v>
      </c>
      <c r="F746" s="36">
        <v>92.364000000000004</v>
      </c>
      <c r="G746" s="37">
        <v>10</v>
      </c>
      <c r="H746" s="38">
        <f t="shared" si="117"/>
        <v>9.2363999999999997</v>
      </c>
      <c r="I746" s="36"/>
      <c r="J746" s="36"/>
      <c r="K746" s="36"/>
      <c r="L746" s="36"/>
      <c r="M746" s="36"/>
      <c r="N746" s="38">
        <f t="shared" si="118"/>
        <v>0</v>
      </c>
      <c r="O746" s="36"/>
      <c r="P746" s="39">
        <f>1000+1000+1300</f>
        <v>3300</v>
      </c>
      <c r="Q746" s="39"/>
      <c r="R746" s="40">
        <f t="shared" si="119"/>
        <v>3300</v>
      </c>
      <c r="S746" s="39"/>
      <c r="T746" s="41"/>
    </row>
    <row r="747" spans="2:20" ht="15.6" x14ac:dyDescent="0.3">
      <c r="B747" s="33">
        <f t="shared" si="120"/>
        <v>19</v>
      </c>
      <c r="C747" s="60" t="s">
        <v>1053</v>
      </c>
      <c r="D747" s="34" t="s">
        <v>1054</v>
      </c>
      <c r="E747" s="35">
        <v>45838</v>
      </c>
      <c r="F747" s="36">
        <v>39</v>
      </c>
      <c r="G747" s="37">
        <v>10</v>
      </c>
      <c r="H747" s="38">
        <f t="shared" si="117"/>
        <v>3.9</v>
      </c>
      <c r="I747" s="36">
        <v>1133.5869789999999</v>
      </c>
      <c r="J747" s="36">
        <v>2244.450683</v>
      </c>
      <c r="K747" s="36">
        <v>2965.8329760000001</v>
      </c>
      <c r="L747" s="36">
        <v>144.89393200000001</v>
      </c>
      <c r="M747" s="36">
        <v>-11.832345999999999</v>
      </c>
      <c r="N747" s="38">
        <f t="shared" si="118"/>
        <v>0.8251760000000008</v>
      </c>
      <c r="O747" s="36">
        <v>-12.657522</v>
      </c>
      <c r="P747" s="39">
        <v>0</v>
      </c>
      <c r="Q747" s="39">
        <v>0</v>
      </c>
      <c r="R747" s="40">
        <f t="shared" si="119"/>
        <v>0</v>
      </c>
      <c r="S747" s="39"/>
      <c r="T747" s="41">
        <v>440</v>
      </c>
    </row>
    <row r="748" spans="2:20" ht="15.6" x14ac:dyDescent="0.3">
      <c r="B748" s="33">
        <f t="shared" si="120"/>
        <v>20</v>
      </c>
      <c r="C748" s="60" t="s">
        <v>1055</v>
      </c>
      <c r="D748" s="34" t="s">
        <v>1056</v>
      </c>
      <c r="E748" s="35">
        <v>45838</v>
      </c>
      <c r="F748" s="36">
        <v>96.630600000000001</v>
      </c>
      <c r="G748" s="37">
        <v>10</v>
      </c>
      <c r="H748" s="38">
        <f t="shared" si="117"/>
        <v>9.6630599999999998</v>
      </c>
      <c r="I748" s="36">
        <v>1574.6579999999999</v>
      </c>
      <c r="J748" s="36">
        <v>4197.7340000000004</v>
      </c>
      <c r="K748" s="36">
        <v>9182.5920000000006</v>
      </c>
      <c r="L748" s="36">
        <v>189.96899999999999</v>
      </c>
      <c r="M748" s="36">
        <v>167.92400000000001</v>
      </c>
      <c r="N748" s="38">
        <f t="shared" si="118"/>
        <v>4.8739999999999952</v>
      </c>
      <c r="O748" s="36">
        <v>163.05000000000001</v>
      </c>
      <c r="P748" s="39">
        <v>70</v>
      </c>
      <c r="Q748" s="39">
        <v>0</v>
      </c>
      <c r="R748" s="40">
        <f t="shared" si="119"/>
        <v>70</v>
      </c>
      <c r="S748" s="39"/>
      <c r="T748" s="41">
        <v>815</v>
      </c>
    </row>
    <row r="749" spans="2:20" ht="15.6" x14ac:dyDescent="0.3">
      <c r="B749" s="33">
        <f t="shared" si="120"/>
        <v>21</v>
      </c>
      <c r="C749" s="60" t="s">
        <v>1057</v>
      </c>
      <c r="D749" s="34" t="s">
        <v>1058</v>
      </c>
      <c r="E749" s="35">
        <v>45838</v>
      </c>
      <c r="F749" s="36">
        <v>1784.9121299999999</v>
      </c>
      <c r="G749" s="37">
        <v>10</v>
      </c>
      <c r="H749" s="38">
        <f>+F749/G749</f>
        <v>178.49121299999999</v>
      </c>
      <c r="I749" s="36">
        <v>6160.3097969999999</v>
      </c>
      <c r="J749" s="36">
        <v>6988.8582180000003</v>
      </c>
      <c r="K749" s="36">
        <v>14006.06488</v>
      </c>
      <c r="L749" s="36">
        <v>153.77359100000001</v>
      </c>
      <c r="M749" s="36">
        <v>582.56556899999998</v>
      </c>
      <c r="N749" s="38">
        <f t="shared" si="118"/>
        <v>176.47794599999997</v>
      </c>
      <c r="O749" s="36">
        <v>406.08762300000001</v>
      </c>
      <c r="P749" s="39">
        <v>0</v>
      </c>
      <c r="Q749" s="39">
        <v>10</v>
      </c>
      <c r="R749" s="40">
        <f>SUM(P749:Q749)</f>
        <v>10</v>
      </c>
      <c r="S749" s="39">
        <v>20.202999999999999</v>
      </c>
      <c r="T749" s="41">
        <v>7089</v>
      </c>
    </row>
    <row r="750" spans="2:20" ht="15.6" x14ac:dyDescent="0.3">
      <c r="B750" s="33">
        <f t="shared" si="120"/>
        <v>22</v>
      </c>
      <c r="C750" s="60" t="s">
        <v>1059</v>
      </c>
      <c r="D750" s="34" t="s">
        <v>1060</v>
      </c>
      <c r="E750" s="35">
        <v>45838</v>
      </c>
      <c r="F750" s="36">
        <v>3710.2881400000001</v>
      </c>
      <c r="G750" s="37">
        <v>10</v>
      </c>
      <c r="H750" s="38">
        <f t="shared" si="117"/>
        <v>371.02881400000001</v>
      </c>
      <c r="I750" s="36">
        <v>13287.156000000001</v>
      </c>
      <c r="J750" s="36">
        <f>14995.639+8873.218</f>
        <v>23868.857</v>
      </c>
      <c r="K750" s="36">
        <v>12591.06</v>
      </c>
      <c r="L750" s="36">
        <v>1222.3900000000001</v>
      </c>
      <c r="M750" s="36">
        <v>1426.4770000000001</v>
      </c>
      <c r="N750" s="38">
        <f t="shared" si="118"/>
        <v>380.95700000000011</v>
      </c>
      <c r="O750" s="36">
        <v>1045.52</v>
      </c>
      <c r="P750" s="39">
        <v>0</v>
      </c>
      <c r="Q750" s="39">
        <v>0</v>
      </c>
      <c r="R750" s="40">
        <f t="shared" si="119"/>
        <v>0</v>
      </c>
      <c r="S750" s="39"/>
      <c r="T750" s="41">
        <v>11906</v>
      </c>
    </row>
    <row r="751" spans="2:20" ht="15.6" x14ac:dyDescent="0.3">
      <c r="B751" s="33">
        <f t="shared" si="120"/>
        <v>23</v>
      </c>
      <c r="C751" s="33" t="s">
        <v>1061</v>
      </c>
      <c r="D751" s="34" t="s">
        <v>1062</v>
      </c>
      <c r="E751" s="35">
        <v>46022</v>
      </c>
      <c r="F751" s="36">
        <v>63.69932</v>
      </c>
      <c r="G751" s="37">
        <v>10</v>
      </c>
      <c r="H751" s="38">
        <f t="shared" si="117"/>
        <v>6.3699320000000004</v>
      </c>
      <c r="I751" s="36"/>
      <c r="J751" s="36"/>
      <c r="K751" s="36"/>
      <c r="L751" s="36"/>
      <c r="M751" s="36"/>
      <c r="N751" s="38">
        <f t="shared" si="118"/>
        <v>0</v>
      </c>
      <c r="O751" s="36"/>
      <c r="P751" s="39">
        <f>5250+4440+4660</f>
        <v>14350</v>
      </c>
      <c r="Q751" s="39"/>
      <c r="R751" s="40">
        <f t="shared" si="119"/>
        <v>14350</v>
      </c>
      <c r="S751" s="39"/>
      <c r="T751" s="41"/>
    </row>
    <row r="752" spans="2:20" ht="15.6" x14ac:dyDescent="0.3">
      <c r="B752" s="33">
        <f t="shared" si="120"/>
        <v>24</v>
      </c>
      <c r="C752" s="60" t="s">
        <v>1063</v>
      </c>
      <c r="D752" s="46" t="s">
        <v>1064</v>
      </c>
      <c r="E752" s="35">
        <v>45838</v>
      </c>
      <c r="F752" s="36">
        <v>11940.5</v>
      </c>
      <c r="G752" s="37">
        <v>10</v>
      </c>
      <c r="H752" s="38">
        <f>+F752/G752</f>
        <v>1194.05</v>
      </c>
      <c r="I752" s="36">
        <v>19087.883999999998</v>
      </c>
      <c r="J752" s="36">
        <v>83560.5</v>
      </c>
      <c r="K752" s="36">
        <v>61878.485999999997</v>
      </c>
      <c r="L752" s="36">
        <v>5992.0889999999999</v>
      </c>
      <c r="M752" s="36">
        <v>2165.9960000000001</v>
      </c>
      <c r="N752" s="38">
        <f>+M752-O752</f>
        <v>936.38000000000011</v>
      </c>
      <c r="O752" s="36">
        <v>1229.616</v>
      </c>
      <c r="P752" s="39">
        <v>0</v>
      </c>
      <c r="Q752" s="39">
        <v>0</v>
      </c>
      <c r="R752" s="40">
        <f>SUM(P752:Q752)</f>
        <v>0</v>
      </c>
      <c r="S752" s="39"/>
      <c r="T752" s="41">
        <v>7117</v>
      </c>
    </row>
    <row r="753" spans="2:20" ht="15.6" x14ac:dyDescent="0.3">
      <c r="B753" s="33">
        <f t="shared" si="120"/>
        <v>25</v>
      </c>
      <c r="C753" s="60" t="s">
        <v>1065</v>
      </c>
      <c r="D753" s="34" t="s">
        <v>1066</v>
      </c>
      <c r="E753" s="35">
        <v>46022</v>
      </c>
      <c r="F753" s="36">
        <v>61.225999999999999</v>
      </c>
      <c r="G753" s="37">
        <v>10</v>
      </c>
      <c r="H753" s="38">
        <f t="shared" si="117"/>
        <v>6.1226000000000003</v>
      </c>
      <c r="I753" s="36"/>
      <c r="J753" s="36"/>
      <c r="K753" s="36"/>
      <c r="L753" s="36"/>
      <c r="M753" s="36">
        <v>90.444999999999993</v>
      </c>
      <c r="N753" s="38">
        <f t="shared" si="118"/>
        <v>40.152999999999992</v>
      </c>
      <c r="O753" s="36">
        <v>50.292000000000002</v>
      </c>
      <c r="P753" s="39">
        <v>25</v>
      </c>
      <c r="Q753" s="39">
        <v>0</v>
      </c>
      <c r="R753" s="40">
        <f t="shared" si="119"/>
        <v>25</v>
      </c>
      <c r="S753" s="39"/>
      <c r="T753" s="41"/>
    </row>
    <row r="754" spans="2:20" ht="15.6" x14ac:dyDescent="0.3">
      <c r="B754" s="63"/>
      <c r="C754" s="62"/>
      <c r="D754" s="64"/>
      <c r="E754" s="65"/>
      <c r="F754" s="66"/>
      <c r="G754" s="43"/>
      <c r="H754" s="67"/>
      <c r="I754" s="66"/>
      <c r="J754" s="66"/>
      <c r="K754" s="66"/>
      <c r="L754" s="66"/>
      <c r="M754" s="66"/>
      <c r="N754" s="67"/>
      <c r="O754" s="66"/>
      <c r="P754" s="68"/>
      <c r="Q754" s="68"/>
      <c r="R754" s="69"/>
      <c r="S754" s="68"/>
      <c r="T754" s="70"/>
    </row>
    <row r="755" spans="2:20" ht="18" x14ac:dyDescent="0.35">
      <c r="B755" s="28"/>
      <c r="C755" s="28"/>
      <c r="D755" s="56" t="s">
        <v>30</v>
      </c>
      <c r="E755" s="28"/>
      <c r="F755" s="28"/>
      <c r="G755" s="43"/>
      <c r="H755" s="44"/>
      <c r="I755" s="30"/>
      <c r="J755" s="30"/>
      <c r="K755" s="30"/>
      <c r="L755" s="30"/>
      <c r="M755" s="30"/>
      <c r="N755" s="45"/>
      <c r="O755" s="30"/>
      <c r="P755" s="30"/>
      <c r="Q755" s="30"/>
      <c r="R755" s="45"/>
      <c r="S755" s="30"/>
      <c r="T755" s="30"/>
    </row>
    <row r="756" spans="2:20" ht="15.6" x14ac:dyDescent="0.3">
      <c r="B756" s="33">
        <v>1</v>
      </c>
      <c r="C756" s="33" t="s">
        <v>1067</v>
      </c>
      <c r="D756" s="34" t="s">
        <v>1068</v>
      </c>
      <c r="E756" s="35">
        <v>45838</v>
      </c>
      <c r="F756" s="36"/>
      <c r="G756" s="37">
        <v>10</v>
      </c>
      <c r="H756" s="38">
        <f>+F756/G756</f>
        <v>0</v>
      </c>
      <c r="I756" s="36"/>
      <c r="J756" s="36"/>
      <c r="K756" s="36"/>
      <c r="L756" s="36"/>
      <c r="M756" s="36"/>
      <c r="N756" s="38">
        <f>+M756-O756</f>
        <v>0</v>
      </c>
      <c r="O756" s="36"/>
      <c r="P756" s="39"/>
      <c r="Q756" s="39"/>
      <c r="R756" s="40">
        <f>SUM(P756:Q756)</f>
        <v>0</v>
      </c>
      <c r="S756" s="39"/>
      <c r="T756" s="41"/>
    </row>
    <row r="757" spans="2:20" ht="15.6" x14ac:dyDescent="0.3">
      <c r="B757" s="33">
        <f>+B756+1</f>
        <v>2</v>
      </c>
      <c r="C757" s="60" t="s">
        <v>1069</v>
      </c>
      <c r="D757" s="34" t="s">
        <v>1070</v>
      </c>
      <c r="E757" s="35">
        <v>45838</v>
      </c>
      <c r="F757" s="36"/>
      <c r="G757" s="37">
        <v>10</v>
      </c>
      <c r="H757" s="38">
        <f>+F757/G757</f>
        <v>0</v>
      </c>
      <c r="I757" s="36"/>
      <c r="J757" s="36"/>
      <c r="K757" s="36"/>
      <c r="L757" s="36"/>
      <c r="M757" s="36"/>
      <c r="N757" s="38">
        <f>+M757-O757</f>
        <v>0</v>
      </c>
      <c r="O757" s="36"/>
      <c r="P757" s="39"/>
      <c r="Q757" s="39"/>
      <c r="R757" s="40">
        <f>SUM(P757:Q757)</f>
        <v>0</v>
      </c>
      <c r="S757" s="39"/>
      <c r="T757" s="41"/>
    </row>
    <row r="758" spans="2:20" ht="15.6" x14ac:dyDescent="0.3">
      <c r="B758" s="28"/>
      <c r="C758" s="28"/>
      <c r="D758" s="28"/>
      <c r="E758" s="28"/>
      <c r="F758" s="28"/>
      <c r="G758" s="43"/>
      <c r="H758" s="44"/>
      <c r="I758" s="30"/>
      <c r="J758" s="30"/>
      <c r="K758" s="30"/>
      <c r="L758" s="30"/>
      <c r="M758" s="30"/>
      <c r="N758" s="45"/>
      <c r="O758" s="30"/>
      <c r="P758" s="30"/>
      <c r="Q758" s="30"/>
      <c r="R758" s="45"/>
      <c r="S758" s="30"/>
      <c r="T758" s="30"/>
    </row>
    <row r="759" spans="2:20" ht="15.6" x14ac:dyDescent="0.3">
      <c r="B759" s="47">
        <f>COUNT(B729:B758)</f>
        <v>27</v>
      </c>
      <c r="C759" s="47"/>
      <c r="D759" s="48"/>
      <c r="E759" s="48"/>
      <c r="F759" s="48">
        <f>SUM(F729:F758)</f>
        <v>57277.135753999995</v>
      </c>
      <c r="G759" s="49"/>
      <c r="H759" s="50">
        <f>SUM(H729:H758)</f>
        <v>6123.262545999999</v>
      </c>
      <c r="I759" s="48">
        <f>SUM(I729:I758)</f>
        <v>167423.04788899998</v>
      </c>
      <c r="J759" s="48">
        <f>SUM(J729:J758)</f>
        <v>395800.94872499997</v>
      </c>
      <c r="K759" s="48">
        <f>SUM(K729:K758)</f>
        <v>469026.68662300002</v>
      </c>
      <c r="L759" s="48">
        <f>SUM(L729:L758)</f>
        <v>16995.496819999997</v>
      </c>
      <c r="M759" s="48">
        <f>SUM(M729:M758)</f>
        <v>55728.218452999994</v>
      </c>
      <c r="N759" s="51">
        <f>SUM(N729:N758)</f>
        <v>17721.356753999997</v>
      </c>
      <c r="O759" s="48">
        <f>SUM(O729:O758)</f>
        <v>38006.861699000001</v>
      </c>
      <c r="P759" s="52"/>
      <c r="Q759" s="52"/>
      <c r="R759" s="53"/>
      <c r="S759" s="52"/>
      <c r="T759" s="54">
        <f>SUM(T729:T758)</f>
        <v>82159</v>
      </c>
    </row>
    <row r="760" spans="2:20" ht="15.6" x14ac:dyDescent="0.3">
      <c r="B760" s="28"/>
      <c r="C760" s="28"/>
      <c r="D760" s="28"/>
      <c r="E760" s="28"/>
      <c r="F760" s="28"/>
      <c r="G760" s="43"/>
      <c r="H760" s="44"/>
      <c r="I760" s="30"/>
      <c r="J760" s="30"/>
      <c r="K760" s="30"/>
      <c r="L760" s="30"/>
      <c r="M760" s="30"/>
      <c r="N760" s="45"/>
      <c r="O760" s="30"/>
      <c r="P760" s="30"/>
      <c r="Q760" s="30"/>
      <c r="R760" s="45"/>
      <c r="S760" s="30"/>
      <c r="T760" s="30"/>
    </row>
    <row r="761" spans="2:20" ht="15.6" x14ac:dyDescent="0.3">
      <c r="B761" s="28"/>
      <c r="C761" s="28"/>
      <c r="D761" s="28"/>
      <c r="E761" s="28"/>
      <c r="F761" s="28"/>
      <c r="G761" s="43"/>
      <c r="H761" s="44"/>
      <c r="I761" s="30"/>
      <c r="J761" s="30"/>
      <c r="K761" s="30"/>
      <c r="L761" s="30"/>
      <c r="M761" s="30"/>
      <c r="N761" s="45"/>
      <c r="O761" s="30"/>
      <c r="P761" s="30"/>
      <c r="Q761" s="30"/>
      <c r="R761" s="45"/>
      <c r="S761" s="30"/>
      <c r="T761" s="30"/>
    </row>
    <row r="762" spans="2:20" ht="18" x14ac:dyDescent="0.35">
      <c r="B762" s="28"/>
      <c r="C762" s="32">
        <v>35</v>
      </c>
      <c r="D762" s="32" t="s">
        <v>1071</v>
      </c>
      <c r="E762" s="61"/>
      <c r="F762" s="61"/>
      <c r="G762" s="43"/>
      <c r="H762" s="44"/>
      <c r="I762" s="30"/>
      <c r="J762" s="30"/>
      <c r="K762" s="30"/>
      <c r="L762" s="30"/>
      <c r="M762" s="30"/>
      <c r="N762" s="45"/>
      <c r="O762" s="30"/>
      <c r="P762" s="30"/>
      <c r="Q762" s="30"/>
      <c r="R762" s="45"/>
      <c r="S762" s="30"/>
      <c r="T762" s="30"/>
    </row>
    <row r="763" spans="2:20" ht="15.6" x14ac:dyDescent="0.3">
      <c r="B763" s="28"/>
      <c r="C763" s="28"/>
      <c r="D763" s="28"/>
      <c r="E763" s="28"/>
      <c r="F763" s="28"/>
      <c r="G763" s="43"/>
      <c r="H763" s="44"/>
      <c r="I763" s="30"/>
      <c r="J763" s="30"/>
      <c r="K763" s="30"/>
      <c r="L763" s="30"/>
      <c r="M763" s="30"/>
      <c r="N763" s="45"/>
      <c r="O763" s="30"/>
      <c r="P763" s="30"/>
      <c r="Q763" s="30"/>
      <c r="R763" s="45"/>
      <c r="S763" s="30"/>
      <c r="T763" s="30"/>
    </row>
    <row r="764" spans="2:20" ht="15.6" x14ac:dyDescent="0.3">
      <c r="B764" s="33">
        <v>1</v>
      </c>
      <c r="C764" s="33" t="s">
        <v>1072</v>
      </c>
      <c r="D764" s="34" t="s">
        <v>1073</v>
      </c>
      <c r="E764" s="35">
        <v>45838</v>
      </c>
      <c r="F764" s="36">
        <v>6385.12057</v>
      </c>
      <c r="G764" s="37">
        <v>10</v>
      </c>
      <c r="H764" s="38">
        <f t="shared" ref="H764:H771" si="121">+F764/G764</f>
        <v>638.51205700000003</v>
      </c>
      <c r="I764" s="36">
        <v>1048.4780000000001</v>
      </c>
      <c r="J764" s="36">
        <v>3905.0889999999999</v>
      </c>
      <c r="K764" s="36">
        <v>717.83299999999997</v>
      </c>
      <c r="L764" s="36">
        <v>255.85</v>
      </c>
      <c r="M764" s="36">
        <v>-721.18799999999999</v>
      </c>
      <c r="N764" s="38">
        <f t="shared" ref="N764:N771" si="122">+M764-O764</f>
        <v>-7.7290000000000418</v>
      </c>
      <c r="O764" s="36">
        <v>-713.45899999999995</v>
      </c>
      <c r="P764" s="39">
        <v>0</v>
      </c>
      <c r="Q764" s="39">
        <v>0</v>
      </c>
      <c r="R764" s="40">
        <f t="shared" ref="R764:R771" si="123">SUM(P764:Q764)</f>
        <v>0</v>
      </c>
      <c r="S764" s="39"/>
      <c r="T764" s="41">
        <v>4074</v>
      </c>
    </row>
    <row r="765" spans="2:20" ht="15.6" x14ac:dyDescent="0.3">
      <c r="B765" s="33">
        <f>+B764+1</f>
        <v>2</v>
      </c>
      <c r="C765" s="33" t="s">
        <v>1074</v>
      </c>
      <c r="D765" s="34" t="s">
        <v>1075</v>
      </c>
      <c r="E765" s="35">
        <v>45838</v>
      </c>
      <c r="F765" s="36">
        <v>378.73820999999998</v>
      </c>
      <c r="G765" s="37">
        <v>10</v>
      </c>
      <c r="H765" s="38">
        <f t="shared" si="121"/>
        <v>37.873821</v>
      </c>
      <c r="I765" s="36">
        <v>1922.5259490000001</v>
      </c>
      <c r="J765" s="36">
        <v>4289.0114219999996</v>
      </c>
      <c r="K765" s="36">
        <v>4390.4092879999998</v>
      </c>
      <c r="L765" s="36">
        <v>29.100601000000001</v>
      </c>
      <c r="M765" s="36">
        <v>286.55630200000002</v>
      </c>
      <c r="N765" s="38">
        <f t="shared" si="122"/>
        <v>139.05998200000002</v>
      </c>
      <c r="O765" s="36">
        <v>147.49632</v>
      </c>
      <c r="P765" s="39">
        <v>0</v>
      </c>
      <c r="Q765" s="39">
        <v>0</v>
      </c>
      <c r="R765" s="40">
        <f t="shared" si="123"/>
        <v>0</v>
      </c>
      <c r="S765" s="39"/>
      <c r="T765" s="41">
        <v>1035</v>
      </c>
    </row>
    <row r="766" spans="2:20" ht="15.6" x14ac:dyDescent="0.3">
      <c r="B766" s="33">
        <f t="shared" ref="B766:B771" si="124">+B765+1</f>
        <v>3</v>
      </c>
      <c r="C766" s="33" t="s">
        <v>1076</v>
      </c>
      <c r="D766" s="34" t="s">
        <v>1077</v>
      </c>
      <c r="E766" s="35">
        <v>45838</v>
      </c>
      <c r="F766" s="36">
        <v>2400</v>
      </c>
      <c r="G766" s="37">
        <v>10</v>
      </c>
      <c r="H766" s="38">
        <f>+F766/G766</f>
        <v>240</v>
      </c>
      <c r="I766" s="36">
        <v>2860.181873</v>
      </c>
      <c r="J766" s="36">
        <v>6206.1596339999996</v>
      </c>
      <c r="K766" s="36">
        <v>2931.9176929999999</v>
      </c>
      <c r="L766" s="36">
        <v>346.37071800000001</v>
      </c>
      <c r="M766" s="36">
        <v>312.65554900000001</v>
      </c>
      <c r="N766" s="38">
        <f>+M766-O766</f>
        <v>12.027580999999998</v>
      </c>
      <c r="O766" s="36">
        <v>300.62796800000001</v>
      </c>
      <c r="P766" s="39">
        <v>0</v>
      </c>
      <c r="Q766" s="39">
        <v>0</v>
      </c>
      <c r="R766" s="40">
        <f>SUM(P766:Q766)</f>
        <v>0</v>
      </c>
      <c r="S766" s="39"/>
      <c r="T766" s="41">
        <v>6060</v>
      </c>
    </row>
    <row r="767" spans="2:20" ht="15.6" x14ac:dyDescent="0.3">
      <c r="B767" s="33">
        <f t="shared" si="124"/>
        <v>4</v>
      </c>
      <c r="C767" s="33" t="s">
        <v>1078</v>
      </c>
      <c r="D767" s="34" t="s">
        <v>1079</v>
      </c>
      <c r="E767" s="35">
        <v>45838</v>
      </c>
      <c r="F767" s="36">
        <v>9997.1483800000005</v>
      </c>
      <c r="G767" s="37">
        <v>10</v>
      </c>
      <c r="H767" s="38">
        <f t="shared" si="121"/>
        <v>999.7148380000001</v>
      </c>
      <c r="I767" s="36">
        <v>38894.613632000001</v>
      </c>
      <c r="J767" s="36">
        <v>52436.257664999997</v>
      </c>
      <c r="K767" s="36">
        <v>45783.042740999997</v>
      </c>
      <c r="L767" s="36">
        <v>107.069681</v>
      </c>
      <c r="M767" s="36">
        <v>7478.5656650000001</v>
      </c>
      <c r="N767" s="38">
        <f t="shared" si="122"/>
        <v>1576.282655</v>
      </c>
      <c r="O767" s="36">
        <v>5902.2830100000001</v>
      </c>
      <c r="P767" s="39">
        <v>15</v>
      </c>
      <c r="Q767" s="39">
        <v>0</v>
      </c>
      <c r="R767" s="40">
        <f t="shared" si="123"/>
        <v>15</v>
      </c>
      <c r="S767" s="39"/>
      <c r="T767" s="41">
        <v>3862</v>
      </c>
    </row>
    <row r="768" spans="2:20" ht="15.6" x14ac:dyDescent="0.3">
      <c r="B768" s="33">
        <f t="shared" si="124"/>
        <v>5</v>
      </c>
      <c r="C768" s="60" t="s">
        <v>1080</v>
      </c>
      <c r="D768" s="34" t="s">
        <v>1081</v>
      </c>
      <c r="E768" s="35">
        <v>45838</v>
      </c>
      <c r="F768" s="36">
        <v>1499.4217799999999</v>
      </c>
      <c r="G768" s="37">
        <v>10</v>
      </c>
      <c r="H768" s="38">
        <f t="shared" si="121"/>
        <v>149.94217799999998</v>
      </c>
      <c r="I768" s="36">
        <v>4415.4554959999996</v>
      </c>
      <c r="J768" s="36">
        <v>6570.4205760000004</v>
      </c>
      <c r="K768" s="36">
        <v>5918.8834459999998</v>
      </c>
      <c r="L768" s="36">
        <v>0</v>
      </c>
      <c r="M768" s="36">
        <v>1448.3408219999999</v>
      </c>
      <c r="N768" s="38">
        <f t="shared" si="122"/>
        <v>363.70043699999997</v>
      </c>
      <c r="O768" s="36">
        <v>1084.6403849999999</v>
      </c>
      <c r="P768" s="39">
        <f>10+10</f>
        <v>20</v>
      </c>
      <c r="Q768" s="39">
        <v>0</v>
      </c>
      <c r="R768" s="40">
        <f t="shared" si="123"/>
        <v>20</v>
      </c>
      <c r="S768" s="39"/>
      <c r="T768" s="41">
        <v>2735</v>
      </c>
    </row>
    <row r="769" spans="2:20" ht="15.6" x14ac:dyDescent="0.3">
      <c r="B769" s="33">
        <f t="shared" si="124"/>
        <v>6</v>
      </c>
      <c r="C769" s="33" t="s">
        <v>1082</v>
      </c>
      <c r="D769" s="34" t="s">
        <v>1083</v>
      </c>
      <c r="E769" s="35">
        <v>45838</v>
      </c>
      <c r="F769" s="36">
        <v>145.48676</v>
      </c>
      <c r="G769" s="37">
        <v>10</v>
      </c>
      <c r="H769" s="38">
        <f t="shared" si="121"/>
        <v>14.548676</v>
      </c>
      <c r="I769" s="36">
        <v>905.18667200000004</v>
      </c>
      <c r="J769" s="36">
        <v>1492.9594239999999</v>
      </c>
      <c r="K769" s="36">
        <v>584.210014</v>
      </c>
      <c r="L769" s="36">
        <v>5.1865589999999999</v>
      </c>
      <c r="M769" s="36">
        <v>-623.37611300000003</v>
      </c>
      <c r="N769" s="38">
        <f t="shared" si="122"/>
        <v>104.85033699999997</v>
      </c>
      <c r="O769" s="36">
        <v>-728.22645</v>
      </c>
      <c r="P769" s="39">
        <v>0</v>
      </c>
      <c r="Q769" s="39">
        <v>0</v>
      </c>
      <c r="R769" s="40">
        <f t="shared" si="123"/>
        <v>0</v>
      </c>
      <c r="S769" s="39"/>
      <c r="T769" s="41">
        <v>306</v>
      </c>
    </row>
    <row r="770" spans="2:20" ht="15.6" x14ac:dyDescent="0.3">
      <c r="B770" s="33">
        <f t="shared" si="124"/>
        <v>7</v>
      </c>
      <c r="C770" s="33" t="s">
        <v>1084</v>
      </c>
      <c r="D770" s="34" t="s">
        <v>1085</v>
      </c>
      <c r="E770" s="35">
        <v>45838</v>
      </c>
      <c r="F770" s="36">
        <v>1196.6023749999999</v>
      </c>
      <c r="G770" s="37">
        <v>5</v>
      </c>
      <c r="H770" s="38">
        <f t="shared" si="121"/>
        <v>239.32047499999999</v>
      </c>
      <c r="I770" s="36">
        <v>2648.7750000000001</v>
      </c>
      <c r="J770" s="36">
        <v>7942.1</v>
      </c>
      <c r="K770" s="36">
        <v>13846.058000000001</v>
      </c>
      <c r="L770" s="36">
        <v>178.99199999999999</v>
      </c>
      <c r="M770" s="36">
        <v>-245.96600000000001</v>
      </c>
      <c r="N770" s="38">
        <f t="shared" si="122"/>
        <v>-53.835000000000008</v>
      </c>
      <c r="O770" s="36">
        <v>-192.131</v>
      </c>
      <c r="P770" s="39">
        <v>0</v>
      </c>
      <c r="Q770" s="39">
        <v>0</v>
      </c>
      <c r="R770" s="40">
        <f t="shared" si="123"/>
        <v>0</v>
      </c>
      <c r="S770" s="39"/>
      <c r="T770" s="41">
        <v>3436</v>
      </c>
    </row>
    <row r="771" spans="2:20" ht="15.6" x14ac:dyDescent="0.3">
      <c r="B771" s="33">
        <f t="shared" si="124"/>
        <v>8</v>
      </c>
      <c r="C771" s="60" t="s">
        <v>1086</v>
      </c>
      <c r="D771" s="34" t="s">
        <v>1087</v>
      </c>
      <c r="E771" s="35">
        <v>45838</v>
      </c>
      <c r="F771" s="36">
        <v>1721.6718800000001</v>
      </c>
      <c r="G771" s="37">
        <v>10</v>
      </c>
      <c r="H771" s="38">
        <f t="shared" si="121"/>
        <v>172.16718800000001</v>
      </c>
      <c r="I771" s="36">
        <v>22419.865441999998</v>
      </c>
      <c r="J771" s="36">
        <v>27822.985945</v>
      </c>
      <c r="K771" s="36">
        <v>33561.951335999998</v>
      </c>
      <c r="L771" s="36">
        <v>395.85416700000002</v>
      </c>
      <c r="M771" s="36">
        <v>8025.136426</v>
      </c>
      <c r="N771" s="38">
        <f t="shared" si="122"/>
        <v>3247.4104740000002</v>
      </c>
      <c r="O771" s="36">
        <v>4777.7259519999998</v>
      </c>
      <c r="P771" s="39">
        <f>20+20</f>
        <v>40</v>
      </c>
      <c r="Q771" s="39">
        <v>0</v>
      </c>
      <c r="R771" s="40">
        <f t="shared" si="123"/>
        <v>40</v>
      </c>
      <c r="S771" s="39"/>
      <c r="T771" s="41">
        <v>3221</v>
      </c>
    </row>
    <row r="772" spans="2:20" ht="15.6" x14ac:dyDescent="0.3">
      <c r="B772" s="28"/>
      <c r="C772" s="28"/>
      <c r="D772" s="28"/>
      <c r="E772" s="28"/>
      <c r="F772" s="28"/>
      <c r="G772" s="43"/>
      <c r="H772" s="44"/>
      <c r="I772" s="30"/>
      <c r="J772" s="30"/>
      <c r="K772" s="30"/>
      <c r="L772" s="30"/>
      <c r="M772" s="30"/>
      <c r="N772" s="45"/>
      <c r="O772" s="30"/>
      <c r="P772" s="30"/>
      <c r="Q772" s="30"/>
      <c r="R772" s="45"/>
      <c r="S772" s="30"/>
      <c r="T772" s="30"/>
    </row>
    <row r="773" spans="2:20" ht="18" x14ac:dyDescent="0.35">
      <c r="B773" s="28"/>
      <c r="C773" s="28"/>
      <c r="D773" s="56" t="s">
        <v>30</v>
      </c>
      <c r="E773" s="28"/>
      <c r="F773" s="28"/>
      <c r="G773" s="43"/>
      <c r="H773" s="44"/>
      <c r="I773" s="30"/>
      <c r="J773" s="30"/>
      <c r="K773" s="30"/>
      <c r="L773" s="30"/>
      <c r="M773" s="30"/>
      <c r="N773" s="45"/>
      <c r="O773" s="30"/>
      <c r="P773" s="30"/>
      <c r="Q773" s="30"/>
      <c r="R773" s="45"/>
      <c r="S773" s="30"/>
      <c r="T773" s="30"/>
    </row>
    <row r="774" spans="2:20" ht="15.6" x14ac:dyDescent="0.3">
      <c r="B774" s="60">
        <v>1</v>
      </c>
      <c r="C774" s="60" t="s">
        <v>1088</v>
      </c>
      <c r="D774" s="34" t="s">
        <v>1089</v>
      </c>
      <c r="E774" s="35">
        <v>45838</v>
      </c>
      <c r="F774" s="36"/>
      <c r="G774" s="37">
        <v>10</v>
      </c>
      <c r="H774" s="38">
        <f>+F774/G774</f>
        <v>0</v>
      </c>
      <c r="I774" s="36"/>
      <c r="J774" s="36"/>
      <c r="K774" s="36"/>
      <c r="L774" s="36"/>
      <c r="M774" s="36"/>
      <c r="N774" s="38">
        <f>+M774-O774</f>
        <v>0</v>
      </c>
      <c r="O774" s="36"/>
      <c r="P774" s="39"/>
      <c r="Q774" s="39"/>
      <c r="R774" s="40">
        <f>SUM(P774:Q774)</f>
        <v>0</v>
      </c>
      <c r="S774" s="39"/>
      <c r="T774" s="41"/>
    </row>
    <row r="775" spans="2:20" ht="15.6" x14ac:dyDescent="0.3">
      <c r="B775" s="28"/>
      <c r="C775" s="28"/>
      <c r="D775" s="28"/>
      <c r="E775" s="28"/>
      <c r="F775" s="28"/>
      <c r="G775" s="43"/>
      <c r="H775" s="44"/>
      <c r="I775" s="30"/>
      <c r="J775" s="30"/>
      <c r="K775" s="30"/>
      <c r="L775" s="30"/>
      <c r="M775" s="30"/>
      <c r="N775" s="45"/>
      <c r="O775" s="30"/>
      <c r="P775" s="30"/>
      <c r="Q775" s="30"/>
      <c r="R775" s="45"/>
      <c r="S775" s="30"/>
      <c r="T775" s="30"/>
    </row>
    <row r="776" spans="2:20" ht="15.6" x14ac:dyDescent="0.3">
      <c r="B776" s="47">
        <f>COUNT(B764:B775)</f>
        <v>9</v>
      </c>
      <c r="C776" s="47"/>
      <c r="D776" s="48"/>
      <c r="E776" s="48"/>
      <c r="F776" s="48">
        <f>SUM(F764:F775)</f>
        <v>23724.189955000002</v>
      </c>
      <c r="G776" s="49"/>
      <c r="H776" s="50">
        <f t="shared" ref="H776:O776" si="125">SUM(H764:H775)</f>
        <v>2492.0792329999999</v>
      </c>
      <c r="I776" s="48">
        <f t="shared" si="125"/>
        <v>75115.082064000002</v>
      </c>
      <c r="J776" s="48">
        <f t="shared" si="125"/>
        <v>110664.98366600001</v>
      </c>
      <c r="K776" s="48">
        <f t="shared" si="125"/>
        <v>107734.30551799999</v>
      </c>
      <c r="L776" s="48">
        <f t="shared" si="125"/>
        <v>1318.423726</v>
      </c>
      <c r="M776" s="48">
        <f t="shared" si="125"/>
        <v>15960.724651</v>
      </c>
      <c r="N776" s="51">
        <f t="shared" si="125"/>
        <v>5381.7674660000002</v>
      </c>
      <c r="O776" s="48">
        <f t="shared" si="125"/>
        <v>10578.957184999999</v>
      </c>
      <c r="P776" s="52"/>
      <c r="Q776" s="52"/>
      <c r="R776" s="53"/>
      <c r="S776" s="52"/>
      <c r="T776" s="54">
        <f>SUM(T764:T775)</f>
        <v>24729</v>
      </c>
    </row>
    <row r="777" spans="2:20" ht="15.6" x14ac:dyDescent="0.3">
      <c r="B777" s="28"/>
      <c r="C777" s="28"/>
      <c r="D777" s="28"/>
      <c r="E777" s="28"/>
      <c r="F777" s="28"/>
      <c r="G777" s="43"/>
      <c r="H777" s="44"/>
      <c r="I777" s="30"/>
      <c r="J777" s="30"/>
      <c r="K777" s="30"/>
      <c r="L777" s="30"/>
      <c r="M777" s="30"/>
      <c r="N777" s="45"/>
      <c r="O777" s="30"/>
      <c r="P777" s="30"/>
      <c r="Q777" s="30"/>
      <c r="R777" s="45"/>
      <c r="S777" s="30"/>
      <c r="T777" s="30"/>
    </row>
    <row r="778" spans="2:20" ht="15.6" x14ac:dyDescent="0.3">
      <c r="B778" s="28"/>
      <c r="C778" s="28"/>
      <c r="D778" s="28"/>
      <c r="E778" s="28"/>
      <c r="F778" s="28"/>
      <c r="G778" s="43"/>
      <c r="H778" s="44"/>
      <c r="I778" s="30"/>
      <c r="J778" s="30"/>
      <c r="K778" s="30"/>
      <c r="L778" s="30"/>
      <c r="M778" s="30"/>
      <c r="N778" s="45"/>
      <c r="O778" s="30"/>
      <c r="P778" s="30"/>
      <c r="Q778" s="30"/>
      <c r="R778" s="45"/>
      <c r="S778" s="30"/>
      <c r="T778" s="30"/>
    </row>
    <row r="779" spans="2:20" ht="18" x14ac:dyDescent="0.35">
      <c r="B779" s="28"/>
      <c r="C779" s="32">
        <v>36</v>
      </c>
      <c r="D779" s="32" t="s">
        <v>1090</v>
      </c>
      <c r="E779" s="61"/>
      <c r="F779" s="61"/>
      <c r="G779" s="43"/>
      <c r="H779" s="44"/>
      <c r="I779" s="30"/>
      <c r="J779" s="30"/>
      <c r="K779" s="30"/>
      <c r="L779" s="30"/>
      <c r="M779" s="30"/>
      <c r="N779" s="45"/>
      <c r="O779" s="30"/>
      <c r="P779" s="30"/>
      <c r="Q779" s="30"/>
      <c r="R779" s="45"/>
      <c r="S779" s="30"/>
      <c r="T779" s="30"/>
    </row>
    <row r="780" spans="2:20" ht="15.6" x14ac:dyDescent="0.3">
      <c r="B780" s="28"/>
      <c r="C780" s="28"/>
      <c r="D780" s="28"/>
      <c r="E780" s="28"/>
      <c r="F780" s="28"/>
      <c r="G780" s="43"/>
      <c r="H780" s="44"/>
      <c r="I780" s="30"/>
      <c r="J780" s="30"/>
      <c r="K780" s="30"/>
      <c r="L780" s="30"/>
      <c r="M780" s="30"/>
      <c r="N780" s="45"/>
      <c r="O780" s="30"/>
      <c r="P780" s="30"/>
      <c r="Q780" s="30"/>
      <c r="R780" s="45"/>
      <c r="S780" s="30"/>
      <c r="T780" s="30"/>
    </row>
    <row r="781" spans="2:20" ht="15.6" x14ac:dyDescent="0.3">
      <c r="B781" s="60">
        <v>1</v>
      </c>
      <c r="C781" s="60" t="s">
        <v>1091</v>
      </c>
      <c r="D781" s="34" t="s">
        <v>1092</v>
      </c>
      <c r="E781" s="35">
        <v>45838</v>
      </c>
      <c r="F781" s="36">
        <v>25.072732999999999</v>
      </c>
      <c r="G781" s="37">
        <v>10</v>
      </c>
      <c r="H781" s="38">
        <f t="shared" ref="H781:H795" si="126">+F781/G781</f>
        <v>2.5072733</v>
      </c>
      <c r="I781" s="36">
        <v>37.018858000000002</v>
      </c>
      <c r="J781" s="36">
        <v>45.039377999999999</v>
      </c>
      <c r="K781" s="36">
        <v>6</v>
      </c>
      <c r="L781" s="36">
        <v>0</v>
      </c>
      <c r="M781" s="36">
        <v>1.253193</v>
      </c>
      <c r="N781" s="38">
        <f t="shared" ref="N781:N795" si="127">+M781-O781</f>
        <v>-1.3111000000000095E-2</v>
      </c>
      <c r="O781" s="36">
        <v>1.2663040000000001</v>
      </c>
      <c r="P781" s="39">
        <v>0</v>
      </c>
      <c r="Q781" s="39">
        <v>0</v>
      </c>
      <c r="R781" s="40">
        <f t="shared" ref="R781:R795" si="128">SUM(P781:Q781)</f>
        <v>0</v>
      </c>
      <c r="S781" s="39"/>
      <c r="T781" s="41">
        <v>715</v>
      </c>
    </row>
    <row r="782" spans="2:20" ht="15.6" x14ac:dyDescent="0.3">
      <c r="B782" s="60">
        <f>+B781+1</f>
        <v>2</v>
      </c>
      <c r="C782" s="33" t="s">
        <v>1093</v>
      </c>
      <c r="D782" s="34" t="s">
        <v>1094</v>
      </c>
      <c r="E782" s="35">
        <v>45838</v>
      </c>
      <c r="F782" s="36">
        <v>100</v>
      </c>
      <c r="G782" s="37">
        <v>10</v>
      </c>
      <c r="H782" s="38">
        <f t="shared" si="126"/>
        <v>10</v>
      </c>
      <c r="I782" s="36">
        <v>342.08617099999998</v>
      </c>
      <c r="J782" s="36">
        <v>799.48962100000006</v>
      </c>
      <c r="K782" s="36">
        <v>1399.0360499999999</v>
      </c>
      <c r="L782" s="36">
        <v>30.982980000000001</v>
      </c>
      <c r="M782" s="36">
        <v>30.737575</v>
      </c>
      <c r="N782" s="38">
        <f t="shared" si="127"/>
        <v>13.592203999999999</v>
      </c>
      <c r="O782" s="36">
        <v>17.145371000000001</v>
      </c>
      <c r="P782" s="39">
        <v>0</v>
      </c>
      <c r="Q782" s="39">
        <v>0</v>
      </c>
      <c r="R782" s="40">
        <f t="shared" si="128"/>
        <v>0</v>
      </c>
      <c r="S782" s="39"/>
      <c r="T782" s="41">
        <v>337</v>
      </c>
    </row>
    <row r="783" spans="2:20" ht="15.6" x14ac:dyDescent="0.3">
      <c r="B783" s="60">
        <f t="shared" ref="B783:B795" si="129">+B782+1</f>
        <v>3</v>
      </c>
      <c r="C783" s="33" t="s">
        <v>1095</v>
      </c>
      <c r="D783" s="34" t="s">
        <v>1096</v>
      </c>
      <c r="E783" s="35">
        <v>45838</v>
      </c>
      <c r="F783" s="36">
        <v>40</v>
      </c>
      <c r="G783" s="37">
        <v>10</v>
      </c>
      <c r="H783" s="38">
        <f t="shared" si="126"/>
        <v>4</v>
      </c>
      <c r="I783" s="36">
        <v>266.66056200000003</v>
      </c>
      <c r="J783" s="36">
        <v>272.15412199999997</v>
      </c>
      <c r="K783" s="36">
        <v>11.780844</v>
      </c>
      <c r="L783" s="36">
        <v>6.7710000000000001E-3</v>
      </c>
      <c r="M783" s="36">
        <v>-124.899565</v>
      </c>
      <c r="N783" s="38">
        <f t="shared" si="127"/>
        <v>0.35464400000000751</v>
      </c>
      <c r="O783" s="36">
        <v>-125.254209</v>
      </c>
      <c r="P783" s="39">
        <v>0</v>
      </c>
      <c r="Q783" s="39">
        <v>0</v>
      </c>
      <c r="R783" s="40">
        <f t="shared" si="128"/>
        <v>0</v>
      </c>
      <c r="S783" s="39"/>
      <c r="T783" s="41">
        <v>610</v>
      </c>
    </row>
    <row r="784" spans="2:20" ht="15.6" x14ac:dyDescent="0.3">
      <c r="B784" s="60">
        <f t="shared" si="129"/>
        <v>4</v>
      </c>
      <c r="C784" s="60" t="s">
        <v>1097</v>
      </c>
      <c r="D784" s="46" t="s">
        <v>1098</v>
      </c>
      <c r="E784" s="35">
        <v>45838</v>
      </c>
      <c r="F784" s="36">
        <v>90</v>
      </c>
      <c r="G784" s="37">
        <v>10</v>
      </c>
      <c r="H784" s="38">
        <f>+F784/G784</f>
        <v>9</v>
      </c>
      <c r="I784" s="36">
        <v>202.18338800000001</v>
      </c>
      <c r="J784" s="36">
        <v>480.38483600000001</v>
      </c>
      <c r="K784" s="36">
        <v>18.10004</v>
      </c>
      <c r="L784" s="36">
        <v>4.6899999999999997E-3</v>
      </c>
      <c r="M784" s="36">
        <v>-153.302538</v>
      </c>
      <c r="N784" s="38">
        <f>+M784-O784</f>
        <v>0.45882700000001364</v>
      </c>
      <c r="O784" s="36">
        <v>-153.76136500000001</v>
      </c>
      <c r="P784" s="39">
        <v>0</v>
      </c>
      <c r="Q784" s="39">
        <v>0</v>
      </c>
      <c r="R784" s="40">
        <f>SUM(P784:Q784)</f>
        <v>0</v>
      </c>
      <c r="S784" s="39"/>
      <c r="T784" s="41">
        <v>271</v>
      </c>
    </row>
    <row r="785" spans="2:20" ht="15.6" x14ac:dyDescent="0.3">
      <c r="B785" s="60">
        <f t="shared" si="129"/>
        <v>5</v>
      </c>
      <c r="C785" s="33" t="s">
        <v>1099</v>
      </c>
      <c r="D785" s="34" t="s">
        <v>1100</v>
      </c>
      <c r="E785" s="35">
        <v>45838</v>
      </c>
      <c r="F785" s="36">
        <v>482.584</v>
      </c>
      <c r="G785" s="37">
        <v>10</v>
      </c>
      <c r="H785" s="38">
        <f t="shared" si="126"/>
        <v>48.258400000000002</v>
      </c>
      <c r="I785" s="36">
        <v>1666.8309999999999</v>
      </c>
      <c r="J785" s="36">
        <v>3345.72</v>
      </c>
      <c r="K785" s="36">
        <v>7183.1109999999999</v>
      </c>
      <c r="L785" s="36">
        <v>189.71600000000001</v>
      </c>
      <c r="M785" s="36">
        <v>572.25</v>
      </c>
      <c r="N785" s="38">
        <f t="shared" si="127"/>
        <v>232.41000000000003</v>
      </c>
      <c r="O785" s="36">
        <v>339.84</v>
      </c>
      <c r="P785" s="39">
        <v>20</v>
      </c>
      <c r="Q785" s="39">
        <v>0</v>
      </c>
      <c r="R785" s="40">
        <f t="shared" si="128"/>
        <v>20</v>
      </c>
      <c r="S785" s="39"/>
      <c r="T785" s="41">
        <v>2359</v>
      </c>
    </row>
    <row r="786" spans="2:20" ht="15.6" x14ac:dyDescent="0.3">
      <c r="B786" s="60">
        <f t="shared" si="129"/>
        <v>6</v>
      </c>
      <c r="C786" s="60" t="s">
        <v>1101</v>
      </c>
      <c r="D786" s="34" t="s">
        <v>1102</v>
      </c>
      <c r="E786" s="35">
        <v>45838</v>
      </c>
      <c r="F786" s="36">
        <v>73.493409999999997</v>
      </c>
      <c r="G786" s="37">
        <v>10</v>
      </c>
      <c r="H786" s="38">
        <f t="shared" si="126"/>
        <v>7.3493409999999999</v>
      </c>
      <c r="I786" s="36">
        <v>677.26966800000002</v>
      </c>
      <c r="J786" s="36">
        <v>769.86128499999995</v>
      </c>
      <c r="K786" s="36">
        <v>472.31581699999998</v>
      </c>
      <c r="L786" s="36">
        <v>1.1546650000000001</v>
      </c>
      <c r="M786" s="36">
        <v>35.148769000000001</v>
      </c>
      <c r="N786" s="38">
        <f t="shared" si="127"/>
        <v>9.3169260000000023</v>
      </c>
      <c r="O786" s="36">
        <v>25.831842999999999</v>
      </c>
      <c r="P786" s="39">
        <v>10</v>
      </c>
      <c r="Q786" s="39">
        <v>0</v>
      </c>
      <c r="R786" s="40">
        <f t="shared" si="128"/>
        <v>10</v>
      </c>
      <c r="S786" s="39"/>
      <c r="T786" s="41">
        <v>447</v>
      </c>
    </row>
    <row r="787" spans="2:20" ht="15.6" x14ac:dyDescent="0.3">
      <c r="B787" s="60">
        <f t="shared" si="129"/>
        <v>7</v>
      </c>
      <c r="C787" s="60" t="s">
        <v>1103</v>
      </c>
      <c r="D787" s="34" t="s">
        <v>1104</v>
      </c>
      <c r="E787" s="35">
        <v>45838</v>
      </c>
      <c r="F787" s="36">
        <v>287.48133000000001</v>
      </c>
      <c r="G787" s="37">
        <v>10</v>
      </c>
      <c r="H787" s="38">
        <f>+F787/G787</f>
        <v>28.748133000000003</v>
      </c>
      <c r="I787" s="36">
        <v>118.117536</v>
      </c>
      <c r="J787" s="36">
        <f>104.350805+444.389991</f>
        <v>548.74079600000005</v>
      </c>
      <c r="K787" s="36">
        <v>1116.0362130000001</v>
      </c>
      <c r="L787" s="36">
        <v>26.665144000000002</v>
      </c>
      <c r="M787" s="36">
        <v>99.979307000000006</v>
      </c>
      <c r="N787" s="38">
        <f>+M787-O787</f>
        <v>26.775045000000006</v>
      </c>
      <c r="O787" s="36">
        <v>73.204262</v>
      </c>
      <c r="P787" s="39">
        <v>0</v>
      </c>
      <c r="Q787" s="39">
        <v>0</v>
      </c>
      <c r="R787" s="40">
        <f>SUM(P787:Q787)</f>
        <v>0</v>
      </c>
      <c r="S787" s="39"/>
      <c r="T787" s="41">
        <v>2584</v>
      </c>
    </row>
    <row r="788" spans="2:20" ht="15.6" x14ac:dyDescent="0.3">
      <c r="B788" s="60">
        <f t="shared" si="129"/>
        <v>8</v>
      </c>
      <c r="C788" s="33" t="s">
        <v>1105</v>
      </c>
      <c r="D788" s="34" t="s">
        <v>1106</v>
      </c>
      <c r="E788" s="35">
        <v>46022</v>
      </c>
      <c r="F788" s="36"/>
      <c r="G788" s="37">
        <v>10</v>
      </c>
      <c r="H788" s="38">
        <f>+F788/G788</f>
        <v>0</v>
      </c>
      <c r="I788" s="36"/>
      <c r="J788" s="36"/>
      <c r="K788" s="36"/>
      <c r="L788" s="36"/>
      <c r="M788" s="36"/>
      <c r="N788" s="38">
        <f>+M788-O788</f>
        <v>0</v>
      </c>
      <c r="O788" s="36"/>
      <c r="P788" s="39"/>
      <c r="Q788" s="39"/>
      <c r="R788" s="40">
        <f>SUM(P788:Q788)</f>
        <v>0</v>
      </c>
      <c r="S788" s="39"/>
      <c r="T788" s="41"/>
    </row>
    <row r="789" spans="2:20" ht="15.6" x14ac:dyDescent="0.3">
      <c r="B789" s="60">
        <f t="shared" si="129"/>
        <v>9</v>
      </c>
      <c r="C789" s="60" t="s">
        <v>1107</v>
      </c>
      <c r="D789" s="34" t="s">
        <v>1108</v>
      </c>
      <c r="E789" s="35">
        <v>46022</v>
      </c>
      <c r="F789" s="36"/>
      <c r="G789" s="37">
        <v>10</v>
      </c>
      <c r="H789" s="38">
        <f t="shared" si="126"/>
        <v>0</v>
      </c>
      <c r="I789" s="36"/>
      <c r="J789" s="36"/>
      <c r="K789" s="36"/>
      <c r="L789" s="36"/>
      <c r="M789" s="36"/>
      <c r="N789" s="38">
        <f t="shared" si="127"/>
        <v>0</v>
      </c>
      <c r="O789" s="36"/>
      <c r="P789" s="39"/>
      <c r="Q789" s="39"/>
      <c r="R789" s="40">
        <f t="shared" si="128"/>
        <v>0</v>
      </c>
      <c r="S789" s="39"/>
      <c r="T789" s="41"/>
    </row>
    <row r="790" spans="2:20" ht="15.6" x14ac:dyDescent="0.3">
      <c r="B790" s="60">
        <f t="shared" si="129"/>
        <v>10</v>
      </c>
      <c r="C790" s="33" t="s">
        <v>1109</v>
      </c>
      <c r="D790" s="34" t="s">
        <v>1110</v>
      </c>
      <c r="E790" s="35">
        <v>45838</v>
      </c>
      <c r="F790" s="36">
        <v>632.14382999999998</v>
      </c>
      <c r="G790" s="37">
        <v>10</v>
      </c>
      <c r="H790" s="38">
        <f t="shared" si="126"/>
        <v>63.214382999999998</v>
      </c>
      <c r="I790" s="36">
        <v>14306.619000000001</v>
      </c>
      <c r="J790" s="36">
        <v>21430.982</v>
      </c>
      <c r="K790" s="36">
        <v>27967.661</v>
      </c>
      <c r="L790" s="36">
        <v>353.83199999999999</v>
      </c>
      <c r="M790" s="36">
        <v>4127.7929999999997</v>
      </c>
      <c r="N790" s="38">
        <f t="shared" si="127"/>
        <v>1798.8129999999996</v>
      </c>
      <c r="O790" s="36">
        <v>2328.98</v>
      </c>
      <c r="P790" s="39">
        <v>50</v>
      </c>
      <c r="Q790" s="39">
        <v>0</v>
      </c>
      <c r="R790" s="40">
        <f t="shared" si="128"/>
        <v>50</v>
      </c>
      <c r="S790" s="39"/>
      <c r="T790" s="41">
        <v>2834</v>
      </c>
    </row>
    <row r="791" spans="2:20" ht="15.6" x14ac:dyDescent="0.3">
      <c r="B791" s="60">
        <f t="shared" si="129"/>
        <v>11</v>
      </c>
      <c r="C791" s="33" t="s">
        <v>1111</v>
      </c>
      <c r="D791" s="34" t="s">
        <v>1112</v>
      </c>
      <c r="E791" s="35">
        <v>45838</v>
      </c>
      <c r="F791" s="36">
        <v>2292.7876999999999</v>
      </c>
      <c r="G791" s="37">
        <v>10</v>
      </c>
      <c r="H791" s="38">
        <f t="shared" si="126"/>
        <v>229.27876999999998</v>
      </c>
      <c r="I791" s="36">
        <v>907.46108100000004</v>
      </c>
      <c r="J791" s="36">
        <v>4451.333412</v>
      </c>
      <c r="K791" s="36">
        <v>2023.042218</v>
      </c>
      <c r="L791" s="36">
        <v>382.98592300000001</v>
      </c>
      <c r="M791" s="36">
        <v>-255.11645999999999</v>
      </c>
      <c r="N791" s="38">
        <f t="shared" si="127"/>
        <v>0</v>
      </c>
      <c r="O791" s="36">
        <v>-255.11645999999999</v>
      </c>
      <c r="P791" s="39">
        <v>0</v>
      </c>
      <c r="Q791" s="39">
        <v>0</v>
      </c>
      <c r="R791" s="40">
        <f t="shared" si="128"/>
        <v>0</v>
      </c>
      <c r="S791" s="39"/>
      <c r="T791" s="41">
        <v>5486</v>
      </c>
    </row>
    <row r="792" spans="2:20" ht="15.6" x14ac:dyDescent="0.3">
      <c r="B792" s="60">
        <f t="shared" si="129"/>
        <v>12</v>
      </c>
      <c r="C792" s="33" t="s">
        <v>1113</v>
      </c>
      <c r="D792" s="34" t="s">
        <v>1114</v>
      </c>
      <c r="E792" s="35">
        <v>46022</v>
      </c>
      <c r="F792" s="36"/>
      <c r="G792" s="37">
        <v>10</v>
      </c>
      <c r="H792" s="38">
        <f t="shared" si="126"/>
        <v>0</v>
      </c>
      <c r="I792" s="36"/>
      <c r="J792" s="36"/>
      <c r="K792" s="36"/>
      <c r="L792" s="36"/>
      <c r="M792" s="36"/>
      <c r="N792" s="38">
        <f t="shared" si="127"/>
        <v>0</v>
      </c>
      <c r="O792" s="36"/>
      <c r="P792" s="39"/>
      <c r="Q792" s="39"/>
      <c r="R792" s="40">
        <f t="shared" si="128"/>
        <v>0</v>
      </c>
      <c r="S792" s="39"/>
      <c r="T792" s="41"/>
    </row>
    <row r="793" spans="2:20" ht="15.6" x14ac:dyDescent="0.3">
      <c r="B793" s="60">
        <f t="shared" si="129"/>
        <v>13</v>
      </c>
      <c r="C793" s="33" t="s">
        <v>1115</v>
      </c>
      <c r="D793" s="34" t="s">
        <v>1116</v>
      </c>
      <c r="E793" s="35">
        <v>45838</v>
      </c>
      <c r="F793" s="36">
        <v>351.20548000000002</v>
      </c>
      <c r="G793" s="37">
        <v>10</v>
      </c>
      <c r="H793" s="38">
        <f>+F793/G793</f>
        <v>35.120547999999999</v>
      </c>
      <c r="I793" s="36">
        <v>573.24507000000006</v>
      </c>
      <c r="J793" s="36">
        <v>617.64832999999999</v>
      </c>
      <c r="K793" s="36">
        <v>76.710476</v>
      </c>
      <c r="L793" s="36">
        <v>2.6074E-2</v>
      </c>
      <c r="M793" s="36">
        <v>20.945903999999999</v>
      </c>
      <c r="N793" s="38">
        <f>+M793-O793</f>
        <v>4.0460339999999988</v>
      </c>
      <c r="O793" s="36">
        <v>16.89987</v>
      </c>
      <c r="P793" s="39">
        <v>5</v>
      </c>
      <c r="Q793" s="39">
        <v>0</v>
      </c>
      <c r="R793" s="40">
        <f>SUM(P793:Q793)</f>
        <v>5</v>
      </c>
      <c r="S793" s="39"/>
      <c r="T793" s="41">
        <v>3209</v>
      </c>
    </row>
    <row r="794" spans="2:20" ht="15.6" x14ac:dyDescent="0.3">
      <c r="B794" s="60">
        <f t="shared" si="129"/>
        <v>14</v>
      </c>
      <c r="C794" s="60" t="s">
        <v>1117</v>
      </c>
      <c r="D794" s="34" t="s">
        <v>1118</v>
      </c>
      <c r="E794" s="35">
        <v>45838</v>
      </c>
      <c r="F794" s="36">
        <v>918</v>
      </c>
      <c r="G794" s="37">
        <v>10</v>
      </c>
      <c r="H794" s="38">
        <f t="shared" si="126"/>
        <v>91.8</v>
      </c>
      <c r="I794" s="36">
        <v>-238.28100000000001</v>
      </c>
      <c r="J794" s="36">
        <v>817.55100000000004</v>
      </c>
      <c r="K794" s="36">
        <v>1176.7639999999999</v>
      </c>
      <c r="L794" s="36">
        <v>19.462</v>
      </c>
      <c r="M794" s="36">
        <v>-71.84</v>
      </c>
      <c r="N794" s="38">
        <f t="shared" si="127"/>
        <v>-1.3930000000000007</v>
      </c>
      <c r="O794" s="36">
        <v>-70.447000000000003</v>
      </c>
      <c r="P794" s="39">
        <v>0</v>
      </c>
      <c r="Q794" s="39">
        <v>0</v>
      </c>
      <c r="R794" s="40">
        <f t="shared" si="128"/>
        <v>0</v>
      </c>
      <c r="S794" s="39"/>
      <c r="T794" s="41">
        <v>1107</v>
      </c>
    </row>
    <row r="795" spans="2:20" ht="15.6" x14ac:dyDescent="0.3">
      <c r="B795" s="60">
        <f t="shared" si="129"/>
        <v>15</v>
      </c>
      <c r="C795" s="60" t="s">
        <v>1119</v>
      </c>
      <c r="D795" s="34" t="s">
        <v>1120</v>
      </c>
      <c r="E795" s="35">
        <v>45838</v>
      </c>
      <c r="F795" s="36">
        <v>352.71300000000002</v>
      </c>
      <c r="G795" s="37">
        <v>10</v>
      </c>
      <c r="H795" s="38">
        <f t="shared" si="126"/>
        <v>35.271300000000004</v>
      </c>
      <c r="I795" s="36">
        <v>1707.875</v>
      </c>
      <c r="J795" s="36">
        <v>2616.3159999999998</v>
      </c>
      <c r="K795" s="36">
        <v>963.63099999999997</v>
      </c>
      <c r="L795" s="36">
        <v>22.295999999999999</v>
      </c>
      <c r="M795" s="36">
        <v>1229.02</v>
      </c>
      <c r="N795" s="38">
        <f t="shared" si="127"/>
        <v>325.66899999999998</v>
      </c>
      <c r="O795" s="36">
        <v>903.351</v>
      </c>
      <c r="P795" s="39">
        <f>20+12.5+300+12.5</f>
        <v>345</v>
      </c>
      <c r="Q795" s="39">
        <v>0</v>
      </c>
      <c r="R795" s="40">
        <f t="shared" si="128"/>
        <v>345</v>
      </c>
      <c r="S795" s="39"/>
      <c r="T795" s="41">
        <v>1266</v>
      </c>
    </row>
    <row r="796" spans="2:20" ht="15.6" x14ac:dyDescent="0.3">
      <c r="B796" s="28"/>
      <c r="C796" s="28"/>
      <c r="D796" s="28"/>
      <c r="E796" s="28"/>
      <c r="F796" s="28"/>
      <c r="G796" s="43"/>
      <c r="H796" s="44"/>
      <c r="I796" s="30"/>
      <c r="J796" s="30"/>
      <c r="K796" s="30"/>
      <c r="L796" s="30"/>
      <c r="M796" s="30"/>
      <c r="N796" s="45"/>
      <c r="O796" s="30"/>
      <c r="P796" s="30"/>
      <c r="Q796" s="30"/>
      <c r="R796" s="45"/>
      <c r="S796" s="30"/>
      <c r="T796" s="30"/>
    </row>
    <row r="797" spans="2:20" ht="18" x14ac:dyDescent="0.35">
      <c r="B797" s="28"/>
      <c r="C797" s="28"/>
      <c r="D797" s="56" t="s">
        <v>30</v>
      </c>
      <c r="E797" s="28"/>
      <c r="F797" s="28"/>
      <c r="G797" s="43"/>
      <c r="H797" s="44"/>
      <c r="I797" s="30"/>
      <c r="J797" s="30"/>
      <c r="K797" s="30"/>
      <c r="L797" s="30"/>
      <c r="M797" s="30"/>
      <c r="N797" s="45"/>
      <c r="O797" s="30"/>
      <c r="P797" s="30"/>
      <c r="Q797" s="30"/>
      <c r="R797" s="45"/>
      <c r="S797" s="30"/>
      <c r="T797" s="30"/>
    </row>
    <row r="798" spans="2:20" ht="15.6" x14ac:dyDescent="0.3">
      <c r="B798" s="60">
        <v>1</v>
      </c>
      <c r="C798" s="33" t="s">
        <v>1121</v>
      </c>
      <c r="D798" s="34" t="s">
        <v>1122</v>
      </c>
      <c r="E798" s="35">
        <v>45838</v>
      </c>
      <c r="F798" s="36">
        <v>23.228000000000002</v>
      </c>
      <c r="G798" s="37">
        <v>10</v>
      </c>
      <c r="H798" s="38">
        <f>+F798/G798</f>
        <v>2.3228</v>
      </c>
      <c r="I798" s="36"/>
      <c r="J798" s="36"/>
      <c r="K798" s="36"/>
      <c r="L798" s="36"/>
      <c r="M798" s="36">
        <v>1.004</v>
      </c>
      <c r="N798" s="38">
        <f>+M798-O798</f>
        <v>0</v>
      </c>
      <c r="O798" s="36">
        <v>1.004</v>
      </c>
      <c r="P798" s="39">
        <v>0</v>
      </c>
      <c r="Q798" s="39">
        <v>0</v>
      </c>
      <c r="R798" s="40">
        <f>SUM(P798:Q798)</f>
        <v>0</v>
      </c>
      <c r="S798" s="39"/>
      <c r="T798" s="41"/>
    </row>
    <row r="799" spans="2:20" ht="15.6" x14ac:dyDescent="0.3">
      <c r="B799" s="60">
        <f>+B798+1</f>
        <v>2</v>
      </c>
      <c r="C799" s="33" t="s">
        <v>1123</v>
      </c>
      <c r="D799" s="46" t="s">
        <v>1124</v>
      </c>
      <c r="E799" s="35">
        <v>45838</v>
      </c>
      <c r="F799" s="36">
        <v>282.66230999999999</v>
      </c>
      <c r="G799" s="37">
        <v>10</v>
      </c>
      <c r="H799" s="38">
        <f>+F799/G799</f>
        <v>28.266230999999998</v>
      </c>
      <c r="I799" s="36">
        <v>785.149449</v>
      </c>
      <c r="J799" s="36">
        <v>996.86053800000002</v>
      </c>
      <c r="K799" s="36">
        <v>0</v>
      </c>
      <c r="L799" s="36">
        <v>5.6839999999999998E-3</v>
      </c>
      <c r="M799" s="36">
        <v>-43.375647999999998</v>
      </c>
      <c r="N799" s="38">
        <f>+M799-O799</f>
        <v>20.429321999999999</v>
      </c>
      <c r="O799" s="36">
        <v>-63.804969999999997</v>
      </c>
      <c r="P799" s="39">
        <v>0</v>
      </c>
      <c r="Q799" s="39">
        <v>0</v>
      </c>
      <c r="R799" s="40">
        <f>SUM(P799:Q799)</f>
        <v>0</v>
      </c>
      <c r="S799" s="39"/>
      <c r="T799" s="41">
        <v>2324</v>
      </c>
    </row>
    <row r="800" spans="2:20" ht="15.6" x14ac:dyDescent="0.3">
      <c r="B800" s="60">
        <f t="shared" ref="B800:B801" si="130">+B799+1</f>
        <v>3</v>
      </c>
      <c r="C800" s="33" t="s">
        <v>1125</v>
      </c>
      <c r="D800" s="34" t="s">
        <v>1126</v>
      </c>
      <c r="E800" s="35">
        <v>45838</v>
      </c>
      <c r="F800" s="36"/>
      <c r="G800" s="37">
        <v>5</v>
      </c>
      <c r="H800" s="38">
        <f>+F800/G800</f>
        <v>0</v>
      </c>
      <c r="I800" s="36"/>
      <c r="J800" s="36"/>
      <c r="K800" s="36"/>
      <c r="L800" s="36"/>
      <c r="M800" s="36"/>
      <c r="N800" s="38">
        <f>+M800-O800</f>
        <v>0</v>
      </c>
      <c r="O800" s="36"/>
      <c r="P800" s="39"/>
      <c r="Q800" s="39"/>
      <c r="R800" s="40">
        <f>SUM(P800:Q800)</f>
        <v>0</v>
      </c>
      <c r="S800" s="39"/>
      <c r="T800" s="41"/>
    </row>
    <row r="801" spans="2:20" ht="15.6" x14ac:dyDescent="0.3">
      <c r="B801" s="60">
        <f t="shared" si="130"/>
        <v>4</v>
      </c>
      <c r="C801" s="60" t="s">
        <v>1127</v>
      </c>
      <c r="D801" s="34" t="s">
        <v>1128</v>
      </c>
      <c r="E801" s="35">
        <v>45838</v>
      </c>
      <c r="F801" s="36">
        <v>180</v>
      </c>
      <c r="G801" s="37">
        <v>10</v>
      </c>
      <c r="H801" s="38">
        <f>+F801/G801</f>
        <v>18</v>
      </c>
      <c r="I801" s="36">
        <v>1393.136</v>
      </c>
      <c r="J801" s="36">
        <v>1417.3219999999999</v>
      </c>
      <c r="K801" s="36">
        <v>78.266000000000005</v>
      </c>
      <c r="L801" s="36">
        <v>0</v>
      </c>
      <c r="M801" s="36">
        <v>208.822</v>
      </c>
      <c r="N801" s="38">
        <f>+M801-O801</f>
        <v>166.74600000000001</v>
      </c>
      <c r="O801" s="36">
        <v>42.076000000000001</v>
      </c>
      <c r="P801" s="39">
        <f>7250</f>
        <v>7250</v>
      </c>
      <c r="Q801" s="39">
        <v>0</v>
      </c>
      <c r="R801" s="40">
        <f>SUM(P801:Q801)</f>
        <v>7250</v>
      </c>
      <c r="S801" s="39"/>
      <c r="T801" s="41"/>
    </row>
    <row r="802" spans="2:20" ht="15.6" x14ac:dyDescent="0.3">
      <c r="B802" s="28"/>
      <c r="C802" s="28"/>
      <c r="D802" s="28"/>
      <c r="E802" s="28"/>
      <c r="F802" s="28"/>
      <c r="G802" s="43"/>
      <c r="H802" s="44"/>
      <c r="I802" s="30"/>
      <c r="J802" s="30"/>
      <c r="K802" s="30"/>
      <c r="L802" s="30"/>
      <c r="M802" s="30"/>
      <c r="N802" s="45"/>
      <c r="O802" s="30"/>
      <c r="P802" s="30"/>
      <c r="Q802" s="30"/>
      <c r="R802" s="45"/>
      <c r="S802" s="30"/>
      <c r="T802" s="30"/>
    </row>
    <row r="803" spans="2:20" ht="15.6" x14ac:dyDescent="0.3">
      <c r="B803" s="47">
        <f>COUNT(B781:B802)</f>
        <v>19</v>
      </c>
      <c r="C803" s="47"/>
      <c r="D803" s="48"/>
      <c r="E803" s="48"/>
      <c r="F803" s="48">
        <f>SUM(F781:F802)</f>
        <v>6131.3717929999993</v>
      </c>
      <c r="G803" s="49"/>
      <c r="H803" s="50">
        <f>SUM(H781:H802)</f>
        <v>613.13717929999996</v>
      </c>
      <c r="I803" s="48">
        <f>SUM(I781:I802)</f>
        <v>22745.371783000002</v>
      </c>
      <c r="J803" s="48">
        <f>SUM(J781:J802)</f>
        <v>38609.403318000004</v>
      </c>
      <c r="K803" s="48">
        <f>SUM(K781:K802)</f>
        <v>42492.45465800001</v>
      </c>
      <c r="L803" s="48">
        <f>SUM(L781:L802)</f>
        <v>1027.137931</v>
      </c>
      <c r="M803" s="48">
        <f>SUM(M781:M802)</f>
        <v>5678.4195369999998</v>
      </c>
      <c r="N803" s="51">
        <f>SUM(N781:N802)</f>
        <v>2597.2048909999994</v>
      </c>
      <c r="O803" s="48">
        <f>SUM(O781:O802)</f>
        <v>3081.2146459999999</v>
      </c>
      <c r="P803" s="52"/>
      <c r="Q803" s="52"/>
      <c r="R803" s="53"/>
      <c r="S803" s="52"/>
      <c r="T803" s="54">
        <f>SUM(T781:T802)</f>
        <v>23549</v>
      </c>
    </row>
    <row r="804" spans="2:20" ht="15.6" x14ac:dyDescent="0.3">
      <c r="B804" s="28"/>
      <c r="C804" s="28"/>
      <c r="D804" s="28"/>
      <c r="E804" s="28"/>
      <c r="F804" s="28"/>
      <c r="G804" s="28"/>
      <c r="H804" s="29"/>
      <c r="I804" s="30"/>
      <c r="J804" s="30"/>
      <c r="K804" s="30"/>
      <c r="L804" s="30"/>
      <c r="M804" s="30"/>
      <c r="N804" s="31"/>
      <c r="O804" s="30"/>
      <c r="P804" s="30"/>
      <c r="Q804" s="30"/>
      <c r="R804" s="31"/>
      <c r="S804" s="30"/>
      <c r="T804" s="30"/>
    </row>
    <row r="806" spans="2:20" ht="18" x14ac:dyDescent="0.35">
      <c r="B806" s="28"/>
      <c r="C806" s="32">
        <v>36</v>
      </c>
      <c r="D806" s="32" t="s">
        <v>1129</v>
      </c>
      <c r="E806" s="61"/>
      <c r="F806" s="61"/>
      <c r="G806" s="43"/>
      <c r="H806" s="44"/>
      <c r="I806" s="30"/>
      <c r="J806" s="30"/>
      <c r="K806" s="30"/>
      <c r="L806" s="30"/>
      <c r="M806" s="30"/>
      <c r="N806" s="45"/>
      <c r="O806" s="30"/>
      <c r="P806" s="30"/>
      <c r="Q806" s="30"/>
      <c r="R806" s="45"/>
      <c r="S806" s="30"/>
      <c r="T806" s="30"/>
    </row>
    <row r="807" spans="2:20" ht="15.6" x14ac:dyDescent="0.3">
      <c r="B807" s="28"/>
      <c r="C807" s="28"/>
      <c r="D807" s="28"/>
      <c r="E807" s="28"/>
      <c r="F807" s="28"/>
      <c r="G807" s="43"/>
      <c r="H807" s="44"/>
      <c r="I807" s="30"/>
      <c r="J807" s="30"/>
      <c r="K807" s="30"/>
      <c r="L807" s="30"/>
      <c r="M807" s="30"/>
      <c r="N807" s="45"/>
      <c r="O807" s="30"/>
      <c r="P807" s="30"/>
      <c r="Q807" s="30"/>
      <c r="R807" s="45"/>
      <c r="S807" s="30"/>
      <c r="T807" s="30"/>
    </row>
    <row r="808" spans="2:20" ht="15.6" x14ac:dyDescent="0.3">
      <c r="B808" s="60">
        <v>1</v>
      </c>
      <c r="C808" s="60" t="s">
        <v>1130</v>
      </c>
      <c r="D808" s="34" t="s">
        <v>1131</v>
      </c>
      <c r="E808" s="35">
        <v>45838</v>
      </c>
      <c r="F808" s="36">
        <v>1000</v>
      </c>
      <c r="G808" s="37">
        <v>10</v>
      </c>
      <c r="H808" s="38">
        <f t="shared" ref="H808:H813" si="131">+F808/G808</f>
        <v>100</v>
      </c>
      <c r="I808" s="36">
        <v>1063.032514</v>
      </c>
      <c r="J808" s="36">
        <v>1124.7067050000001</v>
      </c>
      <c r="K808" s="36">
        <f>20.984329+9.850318+50</f>
        <v>80.83464699999999</v>
      </c>
      <c r="L808" s="36">
        <v>0.35610700000000001</v>
      </c>
      <c r="M808" s="36">
        <v>51.746560000000002</v>
      </c>
      <c r="N808" s="38">
        <f t="shared" ref="N808:N815" si="132">+M808-O808</f>
        <v>8.7140460000000033</v>
      </c>
      <c r="O808" s="36">
        <v>43.032513999999999</v>
      </c>
      <c r="P808" s="39">
        <v>3.9</v>
      </c>
      <c r="Q808" s="39">
        <v>0</v>
      </c>
      <c r="R808" s="40">
        <f t="shared" ref="R808:R813" si="133">SUM(P808:Q808)</f>
        <v>3.9</v>
      </c>
      <c r="S808" s="39"/>
      <c r="T808" s="41">
        <v>236</v>
      </c>
    </row>
    <row r="809" spans="2:20" ht="15.6" x14ac:dyDescent="0.3">
      <c r="B809" s="60">
        <f t="shared" ref="B809:B813" si="134">+B808+1</f>
        <v>2</v>
      </c>
      <c r="C809" s="60" t="s">
        <v>1132</v>
      </c>
      <c r="D809" s="34" t="s">
        <v>1133</v>
      </c>
      <c r="E809" s="35">
        <v>45838</v>
      </c>
      <c r="F809" s="36">
        <v>200</v>
      </c>
      <c r="G809" s="37">
        <v>10</v>
      </c>
      <c r="H809" s="38">
        <f t="shared" si="131"/>
        <v>20</v>
      </c>
      <c r="I809" s="36">
        <v>443.937431</v>
      </c>
      <c r="J809" s="36">
        <v>699.91339400000004</v>
      </c>
      <c r="K809" s="36">
        <v>858.69312300000001</v>
      </c>
      <c r="L809" s="36">
        <v>25.370546000000001</v>
      </c>
      <c r="M809" s="36">
        <v>60.792681000000002</v>
      </c>
      <c r="N809" s="38">
        <f t="shared" si="132"/>
        <v>28.858072000000003</v>
      </c>
      <c r="O809" s="36">
        <v>31.934608999999998</v>
      </c>
      <c r="P809" s="39">
        <v>0</v>
      </c>
      <c r="Q809" s="39">
        <v>0</v>
      </c>
      <c r="R809" s="40">
        <f t="shared" si="133"/>
        <v>0</v>
      </c>
      <c r="S809" s="39"/>
      <c r="T809" s="41">
        <v>94</v>
      </c>
    </row>
    <row r="810" spans="2:20" ht="15.6" x14ac:dyDescent="0.3">
      <c r="B810" s="60">
        <f t="shared" si="134"/>
        <v>3</v>
      </c>
      <c r="C810" s="60" t="s">
        <v>1134</v>
      </c>
      <c r="D810" s="34" t="s">
        <v>1135</v>
      </c>
      <c r="E810" s="35">
        <v>45838</v>
      </c>
      <c r="F810" s="36">
        <v>74.528999999999996</v>
      </c>
      <c r="G810" s="37">
        <v>1</v>
      </c>
      <c r="H810" s="38">
        <f t="shared" si="131"/>
        <v>74.528999999999996</v>
      </c>
      <c r="I810" s="36">
        <v>204.16666799999999</v>
      </c>
      <c r="J810" s="36">
        <v>401.79552999999999</v>
      </c>
      <c r="K810" s="36">
        <v>466.80961100000002</v>
      </c>
      <c r="L810" s="36">
        <v>1.2044379999999999</v>
      </c>
      <c r="M810" s="36">
        <v>178.32604900000001</v>
      </c>
      <c r="N810" s="38">
        <f t="shared" si="132"/>
        <v>50.675598000000008</v>
      </c>
      <c r="O810" s="36">
        <v>127.650451</v>
      </c>
      <c r="P810" s="39">
        <v>0</v>
      </c>
      <c r="Q810" s="39">
        <v>0</v>
      </c>
      <c r="R810" s="40">
        <f t="shared" si="133"/>
        <v>0</v>
      </c>
      <c r="S810" s="39"/>
      <c r="T810" s="41">
        <v>91</v>
      </c>
    </row>
    <row r="811" spans="2:20" ht="15.6" x14ac:dyDescent="0.3">
      <c r="B811" s="60">
        <f t="shared" si="134"/>
        <v>4</v>
      </c>
      <c r="C811" s="60" t="s">
        <v>1136</v>
      </c>
      <c r="D811" s="34" t="s">
        <v>1137</v>
      </c>
      <c r="E811" s="35">
        <v>45838</v>
      </c>
      <c r="F811" s="36">
        <v>1941.03187</v>
      </c>
      <c r="G811" s="37">
        <v>10</v>
      </c>
      <c r="H811" s="38">
        <f t="shared" si="131"/>
        <v>194.10318699999999</v>
      </c>
      <c r="I811" s="36">
        <v>3435.205719</v>
      </c>
      <c r="J811" s="36">
        <v>7239.891533</v>
      </c>
      <c r="K811" s="36">
        <v>0</v>
      </c>
      <c r="L811" s="36">
        <v>2.77454</v>
      </c>
      <c r="M811" s="36">
        <v>-21.280023</v>
      </c>
      <c r="N811" s="38">
        <f t="shared" si="132"/>
        <v>0</v>
      </c>
      <c r="O811" s="36">
        <v>-21.280023</v>
      </c>
      <c r="P811" s="39">
        <v>0</v>
      </c>
      <c r="Q811" s="39">
        <v>0</v>
      </c>
      <c r="R811" s="40">
        <f t="shared" si="133"/>
        <v>0</v>
      </c>
      <c r="S811" s="39"/>
      <c r="T811" s="41">
        <v>117</v>
      </c>
    </row>
    <row r="812" spans="2:20" ht="15.6" x14ac:dyDescent="0.3">
      <c r="B812" s="60">
        <f t="shared" si="134"/>
        <v>5</v>
      </c>
      <c r="C812" s="60" t="s">
        <v>1138</v>
      </c>
      <c r="D812" s="34" t="s">
        <v>1139</v>
      </c>
      <c r="E812" s="35">
        <v>45838</v>
      </c>
      <c r="F812" s="36">
        <v>367.57596000000001</v>
      </c>
      <c r="G812" s="37">
        <v>10</v>
      </c>
      <c r="H812" s="38">
        <f t="shared" si="131"/>
        <v>36.757595999999999</v>
      </c>
      <c r="I812" s="36">
        <v>462.176873</v>
      </c>
      <c r="J812" s="36">
        <v>1090.184669</v>
      </c>
      <c r="K812" s="36">
        <v>1662.6402290000001</v>
      </c>
      <c r="L812" s="36">
        <v>19.584349</v>
      </c>
      <c r="M812" s="36">
        <v>86.023777999999993</v>
      </c>
      <c r="N812" s="38">
        <f t="shared" si="132"/>
        <v>22.755394999999993</v>
      </c>
      <c r="O812" s="36">
        <v>63.268383</v>
      </c>
      <c r="P812" s="39">
        <v>0</v>
      </c>
      <c r="Q812" s="39">
        <v>0</v>
      </c>
      <c r="R812" s="40">
        <f t="shared" si="133"/>
        <v>0</v>
      </c>
      <c r="S812" s="39"/>
      <c r="T812" s="41">
        <v>193</v>
      </c>
    </row>
    <row r="813" spans="2:20" ht="15.6" x14ac:dyDescent="0.3">
      <c r="B813" s="60">
        <f t="shared" si="134"/>
        <v>6</v>
      </c>
      <c r="C813" s="33" t="s">
        <v>1140</v>
      </c>
      <c r="D813" s="34" t="s">
        <v>1141</v>
      </c>
      <c r="E813" s="35">
        <v>45838</v>
      </c>
      <c r="F813" s="36">
        <v>1234.444</v>
      </c>
      <c r="G813" s="37">
        <v>10</v>
      </c>
      <c r="H813" s="38">
        <f t="shared" si="131"/>
        <v>123.4444</v>
      </c>
      <c r="I813" s="36">
        <v>1999.9590000000001</v>
      </c>
      <c r="J813" s="36">
        <v>4165.5420000000004</v>
      </c>
      <c r="K813" s="36">
        <v>7149.2269999999999</v>
      </c>
      <c r="L813" s="36">
        <v>34.734999999999999</v>
      </c>
      <c r="M813" s="36">
        <v>475.83499999999998</v>
      </c>
      <c r="N813" s="38">
        <f t="shared" si="132"/>
        <v>244.41599999999997</v>
      </c>
      <c r="O813" s="36">
        <v>231.41900000000001</v>
      </c>
      <c r="P813" s="39">
        <v>0</v>
      </c>
      <c r="Q813" s="39">
        <v>0</v>
      </c>
      <c r="R813" s="40">
        <f t="shared" si="133"/>
        <v>0</v>
      </c>
      <c r="S813" s="39"/>
      <c r="T813" s="41">
        <v>129</v>
      </c>
    </row>
    <row r="815" spans="2:20" ht="15.6" x14ac:dyDescent="0.3">
      <c r="B815" s="47">
        <f>COUNT(B808:B814)</f>
        <v>6</v>
      </c>
      <c r="C815" s="47"/>
      <c r="D815" s="48"/>
      <c r="E815" s="48"/>
      <c r="F815" s="48">
        <f>SUM(F808:F814)</f>
        <v>4817.5808300000008</v>
      </c>
      <c r="G815" s="49"/>
      <c r="H815" s="50">
        <f>SUM(H808:H814)</f>
        <v>548.83418299999994</v>
      </c>
      <c r="I815" s="48">
        <f>SUM(I808:I814)</f>
        <v>7608.4782050000003</v>
      </c>
      <c r="J815" s="48">
        <f t="shared" ref="J815:M815" si="135">SUM(J808:J814)</f>
        <v>14722.033831000001</v>
      </c>
      <c r="K815" s="48">
        <f t="shared" si="135"/>
        <v>10218.204610000001</v>
      </c>
      <c r="L815" s="48">
        <f t="shared" si="135"/>
        <v>84.024979999999999</v>
      </c>
      <c r="M815" s="48">
        <f t="shared" si="135"/>
        <v>831.44404499999996</v>
      </c>
      <c r="N815" s="51">
        <f t="shared" si="132"/>
        <v>355.41911099999993</v>
      </c>
      <c r="O815" s="48">
        <f>SUM(O808:O814)</f>
        <v>476.02493400000003</v>
      </c>
      <c r="P815" s="52"/>
      <c r="Q815" s="52"/>
      <c r="R815" s="53"/>
      <c r="S815" s="52"/>
      <c r="T815" s="54">
        <f>SUM(T808:T814)</f>
        <v>860</v>
      </c>
    </row>
  </sheetData>
  <mergeCells count="2">
    <mergeCell ref="D1:F1"/>
    <mergeCell ref="D64:F64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>Pakistan Stock Exchange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2026-02-16T10:27:08Z</dcterms:created>
  <dcterms:modified xsi:type="dcterms:W3CDTF">2026-02-16T10:28:56Z</dcterms:modified>
</cp:coreProperties>
</file>