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3040" windowHeight="9192"/>
  </bookViews>
  <sheets>
    <sheet name="Master Data Entry" sheetId="1" r:id="rId1"/>
  </sheets>
  <definedNames>
    <definedName name="_xlnm.Print_Area" localSheetId="0">'Master Data Entry'!$B$5:$T$794</definedName>
    <definedName name="_xlnm.Print_Titles" localSheetId="0">'Master Data Entry'!$1:$4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04" i="1" l="1"/>
  <c r="O804" i="1"/>
  <c r="M804" i="1"/>
  <c r="L804" i="1"/>
  <c r="K804" i="1"/>
  <c r="J804" i="1"/>
  <c r="I804" i="1"/>
  <c r="F804" i="1"/>
  <c r="R802" i="1"/>
  <c r="N802" i="1"/>
  <c r="H802" i="1"/>
  <c r="R801" i="1"/>
  <c r="N801" i="1"/>
  <c r="H801" i="1"/>
  <c r="R800" i="1"/>
  <c r="N800" i="1"/>
  <c r="H800" i="1"/>
  <c r="R799" i="1"/>
  <c r="N799" i="1"/>
  <c r="H799" i="1"/>
  <c r="B799" i="1"/>
  <c r="B800" i="1" s="1"/>
  <c r="R798" i="1"/>
  <c r="N798" i="1"/>
  <c r="H798" i="1"/>
  <c r="T793" i="1"/>
  <c r="O793" i="1"/>
  <c r="M793" i="1"/>
  <c r="L793" i="1"/>
  <c r="K793" i="1"/>
  <c r="I793" i="1"/>
  <c r="F793" i="1"/>
  <c r="R791" i="1"/>
  <c r="N791" i="1"/>
  <c r="H791" i="1"/>
  <c r="R790" i="1"/>
  <c r="N790" i="1"/>
  <c r="J790" i="1"/>
  <c r="H790" i="1"/>
  <c r="R789" i="1"/>
  <c r="N789" i="1"/>
  <c r="H789" i="1"/>
  <c r="B789" i="1"/>
  <c r="B790" i="1" s="1"/>
  <c r="B791" i="1" s="1"/>
  <c r="R788" i="1"/>
  <c r="N788" i="1"/>
  <c r="H788" i="1"/>
  <c r="R785" i="1"/>
  <c r="N785" i="1"/>
  <c r="H785" i="1"/>
  <c r="R784" i="1"/>
  <c r="N784" i="1"/>
  <c r="H784" i="1"/>
  <c r="R783" i="1"/>
  <c r="N783" i="1"/>
  <c r="H783" i="1"/>
  <c r="R782" i="1"/>
  <c r="N782" i="1"/>
  <c r="H782" i="1"/>
  <c r="P781" i="1"/>
  <c r="N781" i="1"/>
  <c r="H781" i="1"/>
  <c r="R780" i="1"/>
  <c r="N780" i="1"/>
  <c r="H780" i="1"/>
  <c r="P779" i="1"/>
  <c r="N779" i="1"/>
  <c r="H779" i="1"/>
  <c r="R778" i="1"/>
  <c r="N778" i="1"/>
  <c r="H778" i="1"/>
  <c r="R777" i="1"/>
  <c r="N777" i="1"/>
  <c r="H777" i="1"/>
  <c r="R776" i="1"/>
  <c r="N776" i="1"/>
  <c r="H776" i="1"/>
  <c r="R775" i="1"/>
  <c r="N775" i="1"/>
  <c r="H775" i="1"/>
  <c r="R774" i="1"/>
  <c r="N774" i="1"/>
  <c r="H774" i="1"/>
  <c r="R773" i="1"/>
  <c r="N773" i="1"/>
  <c r="H773" i="1"/>
  <c r="R772" i="1"/>
  <c r="N772" i="1"/>
  <c r="H772" i="1"/>
  <c r="B772" i="1"/>
  <c r="R771" i="1"/>
  <c r="N771" i="1"/>
  <c r="H771" i="1"/>
  <c r="T766" i="1"/>
  <c r="O766" i="1"/>
  <c r="M766" i="1"/>
  <c r="L766" i="1"/>
  <c r="K766" i="1"/>
  <c r="J766" i="1"/>
  <c r="I766" i="1"/>
  <c r="F766" i="1"/>
  <c r="R764" i="1"/>
  <c r="N764" i="1"/>
  <c r="H764" i="1"/>
  <c r="R761" i="1"/>
  <c r="N761" i="1"/>
  <c r="H761" i="1"/>
  <c r="R760" i="1"/>
  <c r="N760" i="1"/>
  <c r="H760" i="1"/>
  <c r="R759" i="1"/>
  <c r="N759" i="1"/>
  <c r="H759" i="1"/>
  <c r="R758" i="1"/>
  <c r="N758" i="1"/>
  <c r="H758" i="1"/>
  <c r="R757" i="1"/>
  <c r="N757" i="1"/>
  <c r="H757" i="1"/>
  <c r="R756" i="1"/>
  <c r="N756" i="1"/>
  <c r="H756" i="1"/>
  <c r="R755" i="1"/>
  <c r="N755" i="1"/>
  <c r="H755" i="1"/>
  <c r="B755" i="1"/>
  <c r="R754" i="1"/>
  <c r="N754" i="1"/>
  <c r="H754" i="1"/>
  <c r="T749" i="1"/>
  <c r="O749" i="1"/>
  <c r="M749" i="1"/>
  <c r="L749" i="1"/>
  <c r="K749" i="1"/>
  <c r="I749" i="1"/>
  <c r="R747" i="1"/>
  <c r="N747" i="1"/>
  <c r="H747" i="1"/>
  <c r="B747" i="1"/>
  <c r="R746" i="1"/>
  <c r="N746" i="1"/>
  <c r="H746" i="1"/>
  <c r="R743" i="1"/>
  <c r="N743" i="1"/>
  <c r="H743" i="1"/>
  <c r="R742" i="1"/>
  <c r="N742" i="1"/>
  <c r="H742" i="1"/>
  <c r="P741" i="1"/>
  <c r="N741" i="1"/>
  <c r="H741" i="1"/>
  <c r="R740" i="1"/>
  <c r="N740" i="1"/>
  <c r="J740" i="1"/>
  <c r="H740" i="1"/>
  <c r="R739" i="1"/>
  <c r="N739" i="1"/>
  <c r="H739" i="1"/>
  <c r="R738" i="1"/>
  <c r="N738" i="1"/>
  <c r="H738" i="1"/>
  <c r="R737" i="1"/>
  <c r="N737" i="1"/>
  <c r="H737" i="1"/>
  <c r="P736" i="1"/>
  <c r="R736" i="1" s="1"/>
  <c r="N736" i="1"/>
  <c r="J736" i="1"/>
  <c r="H736" i="1"/>
  <c r="R735" i="1"/>
  <c r="N735" i="1"/>
  <c r="H735" i="1"/>
  <c r="R734" i="1"/>
  <c r="N734" i="1"/>
  <c r="H734" i="1"/>
  <c r="P733" i="1"/>
  <c r="N733" i="1"/>
  <c r="H733" i="1"/>
  <c r="P732" i="1"/>
  <c r="N732" i="1"/>
  <c r="H732" i="1"/>
  <c r="P731" i="1"/>
  <c r="N731" i="1"/>
  <c r="F731" i="1"/>
  <c r="H731" i="1" s="1"/>
  <c r="R730" i="1"/>
  <c r="N730" i="1"/>
  <c r="H730" i="1"/>
  <c r="R729" i="1"/>
  <c r="N729" i="1"/>
  <c r="H729" i="1"/>
  <c r="R728" i="1"/>
  <c r="N728" i="1"/>
  <c r="H728" i="1"/>
  <c r="R727" i="1"/>
  <c r="N727" i="1"/>
  <c r="H727" i="1"/>
  <c r="R726" i="1"/>
  <c r="N726" i="1"/>
  <c r="H726" i="1"/>
  <c r="R725" i="1"/>
  <c r="N725" i="1"/>
  <c r="H725" i="1"/>
  <c r="R724" i="1"/>
  <c r="N724" i="1"/>
  <c r="H724" i="1"/>
  <c r="P723" i="1"/>
  <c r="N723" i="1"/>
  <c r="H723" i="1"/>
  <c r="R722" i="1"/>
  <c r="N722" i="1"/>
  <c r="H722" i="1"/>
  <c r="R721" i="1"/>
  <c r="N721" i="1"/>
  <c r="H721" i="1"/>
  <c r="B721" i="1"/>
  <c r="B722" i="1" s="1"/>
  <c r="B723" i="1" s="1"/>
  <c r="B724" i="1" s="1"/>
  <c r="B725" i="1" s="1"/>
  <c r="B726" i="1" s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R720" i="1"/>
  <c r="N720" i="1"/>
  <c r="H720" i="1"/>
  <c r="T715" i="1"/>
  <c r="O715" i="1"/>
  <c r="M715" i="1"/>
  <c r="L715" i="1"/>
  <c r="K715" i="1"/>
  <c r="J715" i="1"/>
  <c r="I715" i="1"/>
  <c r="F715" i="1"/>
  <c r="R713" i="1"/>
  <c r="N713" i="1"/>
  <c r="H713" i="1"/>
  <c r="R710" i="1"/>
  <c r="N710" i="1"/>
  <c r="H710" i="1"/>
  <c r="R709" i="1"/>
  <c r="N709" i="1"/>
  <c r="H709" i="1"/>
  <c r="R708" i="1"/>
  <c r="N708" i="1"/>
  <c r="H708" i="1"/>
  <c r="R707" i="1"/>
  <c r="N707" i="1"/>
  <c r="H707" i="1"/>
  <c r="B707" i="1"/>
  <c r="P706" i="1"/>
  <c r="R706" i="1" s="1"/>
  <c r="N706" i="1"/>
  <c r="H706" i="1"/>
  <c r="T701" i="1"/>
  <c r="O701" i="1"/>
  <c r="M701" i="1"/>
  <c r="L701" i="1"/>
  <c r="K701" i="1"/>
  <c r="J701" i="1"/>
  <c r="I701" i="1"/>
  <c r="F701" i="1"/>
  <c r="R699" i="1"/>
  <c r="N699" i="1"/>
  <c r="H699" i="1"/>
  <c r="R696" i="1"/>
  <c r="N696" i="1"/>
  <c r="H696" i="1"/>
  <c r="B696" i="1"/>
  <c r="B701" i="1" s="1"/>
  <c r="R695" i="1"/>
  <c r="N695" i="1"/>
  <c r="H695" i="1"/>
  <c r="T690" i="1"/>
  <c r="O690" i="1"/>
  <c r="M690" i="1"/>
  <c r="L690" i="1"/>
  <c r="K690" i="1"/>
  <c r="J690" i="1"/>
  <c r="I690" i="1"/>
  <c r="F690" i="1"/>
  <c r="R688" i="1"/>
  <c r="N688" i="1"/>
  <c r="H688" i="1"/>
  <c r="B688" i="1"/>
  <c r="R687" i="1"/>
  <c r="N687" i="1"/>
  <c r="H687" i="1"/>
  <c r="R684" i="1"/>
  <c r="N684" i="1"/>
  <c r="H684" i="1"/>
  <c r="P683" i="1"/>
  <c r="N683" i="1"/>
  <c r="H683" i="1"/>
  <c r="R682" i="1"/>
  <c r="N682" i="1"/>
  <c r="H682" i="1"/>
  <c r="P681" i="1"/>
  <c r="R681" i="1" s="1"/>
  <c r="N681" i="1"/>
  <c r="H681" i="1"/>
  <c r="R680" i="1"/>
  <c r="N680" i="1"/>
  <c r="H680" i="1"/>
  <c r="R679" i="1"/>
  <c r="N679" i="1"/>
  <c r="H679" i="1"/>
  <c r="R678" i="1"/>
  <c r="N678" i="1"/>
  <c r="H678" i="1"/>
  <c r="R677" i="1"/>
  <c r="N677" i="1"/>
  <c r="H677" i="1"/>
  <c r="P676" i="1"/>
  <c r="R676" i="1" s="1"/>
  <c r="N676" i="1"/>
  <c r="H676" i="1"/>
  <c r="B676" i="1"/>
  <c r="B677" i="1" s="1"/>
  <c r="R675" i="1"/>
  <c r="N675" i="1"/>
  <c r="H675" i="1"/>
  <c r="T670" i="1"/>
  <c r="O670" i="1"/>
  <c r="M670" i="1"/>
  <c r="L670" i="1"/>
  <c r="K670" i="1"/>
  <c r="I670" i="1"/>
  <c r="F670" i="1"/>
  <c r="R668" i="1"/>
  <c r="N668" i="1"/>
  <c r="H668" i="1"/>
  <c r="R667" i="1"/>
  <c r="N667" i="1"/>
  <c r="H667" i="1"/>
  <c r="R666" i="1"/>
  <c r="N666" i="1"/>
  <c r="H666" i="1"/>
  <c r="B666" i="1"/>
  <c r="B667" i="1" s="1"/>
  <c r="B668" i="1" s="1"/>
  <c r="R665" i="1"/>
  <c r="N665" i="1"/>
  <c r="H665" i="1"/>
  <c r="R662" i="1"/>
  <c r="N662" i="1"/>
  <c r="H662" i="1"/>
  <c r="R661" i="1"/>
  <c r="N661" i="1"/>
  <c r="H661" i="1"/>
  <c r="R660" i="1"/>
  <c r="N660" i="1"/>
  <c r="H660" i="1"/>
  <c r="R659" i="1"/>
  <c r="N659" i="1"/>
  <c r="H659" i="1"/>
  <c r="R658" i="1"/>
  <c r="N658" i="1"/>
  <c r="H658" i="1"/>
  <c r="P657" i="1"/>
  <c r="N657" i="1"/>
  <c r="H657" i="1"/>
  <c r="R656" i="1"/>
  <c r="N656" i="1"/>
  <c r="H656" i="1"/>
  <c r="P655" i="1"/>
  <c r="N655" i="1"/>
  <c r="H655" i="1"/>
  <c r="P654" i="1"/>
  <c r="N654" i="1"/>
  <c r="H654" i="1"/>
  <c r="P653" i="1"/>
  <c r="N653" i="1"/>
  <c r="H653" i="1"/>
  <c r="R652" i="1"/>
  <c r="N652" i="1"/>
  <c r="H652" i="1"/>
  <c r="R651" i="1"/>
  <c r="N651" i="1"/>
  <c r="H651" i="1"/>
  <c r="R650" i="1"/>
  <c r="N650" i="1"/>
  <c r="H650" i="1"/>
  <c r="R649" i="1"/>
  <c r="N649" i="1"/>
  <c r="H649" i="1"/>
  <c r="P648" i="1"/>
  <c r="N648" i="1"/>
  <c r="H648" i="1"/>
  <c r="R647" i="1"/>
  <c r="N647" i="1"/>
  <c r="H647" i="1"/>
  <c r="R646" i="1"/>
  <c r="N646" i="1"/>
  <c r="H646" i="1"/>
  <c r="R645" i="1"/>
  <c r="N645" i="1"/>
  <c r="H645" i="1"/>
  <c r="P644" i="1"/>
  <c r="N644" i="1"/>
  <c r="J644" i="1"/>
  <c r="H644" i="1"/>
  <c r="R643" i="1"/>
  <c r="N643" i="1"/>
  <c r="H643" i="1"/>
  <c r="R642" i="1"/>
  <c r="N642" i="1"/>
  <c r="H642" i="1"/>
  <c r="B642" i="1"/>
  <c r="B643" i="1" s="1"/>
  <c r="R641" i="1"/>
  <c r="N641" i="1"/>
  <c r="H641" i="1"/>
  <c r="T636" i="1"/>
  <c r="O636" i="1"/>
  <c r="M636" i="1"/>
  <c r="L636" i="1"/>
  <c r="K636" i="1"/>
  <c r="J636" i="1"/>
  <c r="I636" i="1"/>
  <c r="F636" i="1"/>
  <c r="R634" i="1"/>
  <c r="N634" i="1"/>
  <c r="H634" i="1"/>
  <c r="P633" i="1"/>
  <c r="N633" i="1"/>
  <c r="H633" i="1"/>
  <c r="R632" i="1"/>
  <c r="N632" i="1"/>
  <c r="H632" i="1"/>
  <c r="P631" i="1"/>
  <c r="R631" i="1" s="1"/>
  <c r="N631" i="1"/>
  <c r="H631" i="1"/>
  <c r="R630" i="1"/>
  <c r="N630" i="1"/>
  <c r="H630" i="1"/>
  <c r="R629" i="1"/>
  <c r="N629" i="1"/>
  <c r="H629" i="1"/>
  <c r="P628" i="1"/>
  <c r="N628" i="1"/>
  <c r="H628" i="1"/>
  <c r="R627" i="1"/>
  <c r="N627" i="1"/>
  <c r="H627" i="1"/>
  <c r="R626" i="1"/>
  <c r="N626" i="1"/>
  <c r="H626" i="1"/>
  <c r="R625" i="1"/>
  <c r="N625" i="1"/>
  <c r="H625" i="1"/>
  <c r="R624" i="1"/>
  <c r="N624" i="1"/>
  <c r="H624" i="1"/>
  <c r="R623" i="1"/>
  <c r="N623" i="1"/>
  <c r="H623" i="1"/>
  <c r="B623" i="1"/>
  <c r="R622" i="1"/>
  <c r="N622" i="1"/>
  <c r="H622" i="1"/>
  <c r="T617" i="1"/>
  <c r="O617" i="1"/>
  <c r="M617" i="1"/>
  <c r="L617" i="1"/>
  <c r="K617" i="1"/>
  <c r="J617" i="1"/>
  <c r="I617" i="1"/>
  <c r="F617" i="1"/>
  <c r="P615" i="1"/>
  <c r="R615" i="1" s="1"/>
  <c r="N615" i="1"/>
  <c r="H615" i="1"/>
  <c r="P614" i="1"/>
  <c r="N614" i="1"/>
  <c r="H614" i="1"/>
  <c r="P613" i="1"/>
  <c r="N613" i="1"/>
  <c r="H613" i="1"/>
  <c r="P612" i="1"/>
  <c r="N612" i="1"/>
  <c r="H612" i="1"/>
  <c r="B612" i="1"/>
  <c r="B613" i="1" s="1"/>
  <c r="B614" i="1" s="1"/>
  <c r="B615" i="1" s="1"/>
  <c r="B617" i="1" s="1"/>
  <c r="R611" i="1"/>
  <c r="N611" i="1"/>
  <c r="H611" i="1"/>
  <c r="T606" i="1"/>
  <c r="O606" i="1"/>
  <c r="M606" i="1"/>
  <c r="L606" i="1"/>
  <c r="K606" i="1"/>
  <c r="J606" i="1"/>
  <c r="I606" i="1"/>
  <c r="F606" i="1"/>
  <c r="R604" i="1"/>
  <c r="N604" i="1"/>
  <c r="H604" i="1"/>
  <c r="R603" i="1"/>
  <c r="N603" i="1"/>
  <c r="H603" i="1"/>
  <c r="R602" i="1"/>
  <c r="N602" i="1"/>
  <c r="H602" i="1"/>
  <c r="R601" i="1"/>
  <c r="N601" i="1"/>
  <c r="H601" i="1"/>
  <c r="R600" i="1"/>
  <c r="N600" i="1"/>
  <c r="H600" i="1"/>
  <c r="R599" i="1"/>
  <c r="N599" i="1"/>
  <c r="H599" i="1"/>
  <c r="R598" i="1"/>
  <c r="N598" i="1"/>
  <c r="H598" i="1"/>
  <c r="R597" i="1"/>
  <c r="N597" i="1"/>
  <c r="H597" i="1"/>
  <c r="R596" i="1"/>
  <c r="N596" i="1"/>
  <c r="H596" i="1"/>
  <c r="R595" i="1"/>
  <c r="N595" i="1"/>
  <c r="H595" i="1"/>
  <c r="R594" i="1"/>
  <c r="N594" i="1"/>
  <c r="H594" i="1"/>
  <c r="R593" i="1"/>
  <c r="N593" i="1"/>
  <c r="H593" i="1"/>
  <c r="R592" i="1"/>
  <c r="N592" i="1"/>
  <c r="H592" i="1"/>
  <c r="R591" i="1"/>
  <c r="N591" i="1"/>
  <c r="H591" i="1"/>
  <c r="P590" i="1"/>
  <c r="N590" i="1"/>
  <c r="H590" i="1"/>
  <c r="B590" i="1"/>
  <c r="R589" i="1"/>
  <c r="N589" i="1"/>
  <c r="H589" i="1"/>
  <c r="T584" i="1"/>
  <c r="O584" i="1"/>
  <c r="M584" i="1"/>
  <c r="L584" i="1"/>
  <c r="K584" i="1"/>
  <c r="J584" i="1"/>
  <c r="I584" i="1"/>
  <c r="F584" i="1"/>
  <c r="R582" i="1"/>
  <c r="N582" i="1"/>
  <c r="H582" i="1"/>
  <c r="P581" i="1"/>
  <c r="R581" i="1" s="1"/>
  <c r="N581" i="1"/>
  <c r="H581" i="1"/>
  <c r="P580" i="1"/>
  <c r="N580" i="1"/>
  <c r="H580" i="1"/>
  <c r="R579" i="1"/>
  <c r="N579" i="1"/>
  <c r="H579" i="1"/>
  <c r="B579" i="1"/>
  <c r="B580" i="1" s="1"/>
  <c r="B581" i="1" s="1"/>
  <c r="B582" i="1" s="1"/>
  <c r="R578" i="1"/>
  <c r="N578" i="1"/>
  <c r="H578" i="1"/>
  <c r="T573" i="1"/>
  <c r="O573" i="1"/>
  <c r="M573" i="1"/>
  <c r="L573" i="1"/>
  <c r="K573" i="1"/>
  <c r="J573" i="1"/>
  <c r="I573" i="1"/>
  <c r="F573" i="1"/>
  <c r="R571" i="1"/>
  <c r="N571" i="1"/>
  <c r="H571" i="1"/>
  <c r="R570" i="1"/>
  <c r="N570" i="1"/>
  <c r="H570" i="1"/>
  <c r="R569" i="1"/>
  <c r="N569" i="1"/>
  <c r="H569" i="1"/>
  <c r="R568" i="1"/>
  <c r="N568" i="1"/>
  <c r="H568" i="1"/>
  <c r="R567" i="1"/>
  <c r="N567" i="1"/>
  <c r="H567" i="1"/>
  <c r="R566" i="1"/>
  <c r="N566" i="1"/>
  <c r="H566" i="1"/>
  <c r="B566" i="1"/>
  <c r="B567" i="1" s="1"/>
  <c r="B568" i="1" s="1"/>
  <c r="B569" i="1" s="1"/>
  <c r="B570" i="1" s="1"/>
  <c r="B571" i="1" s="1"/>
  <c r="R565" i="1"/>
  <c r="N565" i="1"/>
  <c r="H565" i="1"/>
  <c r="T560" i="1"/>
  <c r="O560" i="1"/>
  <c r="M560" i="1"/>
  <c r="L560" i="1"/>
  <c r="K560" i="1"/>
  <c r="J560" i="1"/>
  <c r="I560" i="1"/>
  <c r="R558" i="1"/>
  <c r="N558" i="1"/>
  <c r="H558" i="1"/>
  <c r="B558" i="1"/>
  <c r="R557" i="1"/>
  <c r="N557" i="1"/>
  <c r="H557" i="1"/>
  <c r="P554" i="1"/>
  <c r="N554" i="1"/>
  <c r="H554" i="1"/>
  <c r="R553" i="1"/>
  <c r="N553" i="1"/>
  <c r="H553" i="1"/>
  <c r="R552" i="1"/>
  <c r="N552" i="1"/>
  <c r="H552" i="1"/>
  <c r="R551" i="1"/>
  <c r="N551" i="1"/>
  <c r="H551" i="1"/>
  <c r="R550" i="1"/>
  <c r="N550" i="1"/>
  <c r="H550" i="1"/>
  <c r="R549" i="1"/>
  <c r="N549" i="1"/>
  <c r="H549" i="1"/>
  <c r="P548" i="1"/>
  <c r="R548" i="1" s="1"/>
  <c r="N548" i="1"/>
  <c r="F548" i="1"/>
  <c r="R547" i="1"/>
  <c r="N547" i="1"/>
  <c r="H547" i="1"/>
  <c r="B547" i="1"/>
  <c r="R546" i="1"/>
  <c r="N546" i="1"/>
  <c r="H546" i="1"/>
  <c r="T541" i="1"/>
  <c r="O541" i="1"/>
  <c r="M541" i="1"/>
  <c r="L541" i="1"/>
  <c r="K541" i="1"/>
  <c r="J541" i="1"/>
  <c r="I541" i="1"/>
  <c r="P539" i="1"/>
  <c r="R539" i="1" s="1"/>
  <c r="N539" i="1"/>
  <c r="H539" i="1"/>
  <c r="P538" i="1"/>
  <c r="N538" i="1"/>
  <c r="H538" i="1"/>
  <c r="P537" i="1"/>
  <c r="R537" i="1" s="1"/>
  <c r="N537" i="1"/>
  <c r="F537" i="1"/>
  <c r="R536" i="1"/>
  <c r="N536" i="1"/>
  <c r="H536" i="1"/>
  <c r="R535" i="1"/>
  <c r="N535" i="1"/>
  <c r="H535" i="1"/>
  <c r="R534" i="1"/>
  <c r="N534" i="1"/>
  <c r="H534" i="1"/>
  <c r="R533" i="1"/>
  <c r="N533" i="1"/>
  <c r="H533" i="1"/>
  <c r="R532" i="1"/>
  <c r="N532" i="1"/>
  <c r="H532" i="1"/>
  <c r="P531" i="1"/>
  <c r="N531" i="1"/>
  <c r="F531" i="1"/>
  <c r="H531" i="1" s="1"/>
  <c r="B531" i="1"/>
  <c r="B532" i="1" s="1"/>
  <c r="B533" i="1" s="1"/>
  <c r="B534" i="1" s="1"/>
  <c r="B535" i="1" s="1"/>
  <c r="B536" i="1" s="1"/>
  <c r="B537" i="1" s="1"/>
  <c r="B538" i="1" s="1"/>
  <c r="B539" i="1" s="1"/>
  <c r="R530" i="1"/>
  <c r="N530" i="1"/>
  <c r="H530" i="1"/>
  <c r="T525" i="1"/>
  <c r="O525" i="1"/>
  <c r="M525" i="1"/>
  <c r="L525" i="1"/>
  <c r="K525" i="1"/>
  <c r="J525" i="1"/>
  <c r="I525" i="1"/>
  <c r="F525" i="1"/>
  <c r="R523" i="1"/>
  <c r="N523" i="1"/>
  <c r="H523" i="1"/>
  <c r="R522" i="1"/>
  <c r="N522" i="1"/>
  <c r="H522" i="1"/>
  <c r="R521" i="1"/>
  <c r="N521" i="1"/>
  <c r="H521" i="1"/>
  <c r="B521" i="1"/>
  <c r="B522" i="1" s="1"/>
  <c r="B523" i="1" s="1"/>
  <c r="R520" i="1"/>
  <c r="N520" i="1"/>
  <c r="H520" i="1"/>
  <c r="R517" i="1"/>
  <c r="N517" i="1"/>
  <c r="H517" i="1"/>
  <c r="R516" i="1"/>
  <c r="N516" i="1"/>
  <c r="H516" i="1"/>
  <c r="R515" i="1"/>
  <c r="N515" i="1"/>
  <c r="H515" i="1"/>
  <c r="R514" i="1"/>
  <c r="N514" i="1"/>
  <c r="H514" i="1"/>
  <c r="P513" i="1"/>
  <c r="N513" i="1"/>
  <c r="H513" i="1"/>
  <c r="P512" i="1"/>
  <c r="N512" i="1"/>
  <c r="H512" i="1"/>
  <c r="R511" i="1"/>
  <c r="N511" i="1"/>
  <c r="H511" i="1"/>
  <c r="P510" i="1"/>
  <c r="N510" i="1"/>
  <c r="H510" i="1"/>
  <c r="R509" i="1"/>
  <c r="N509" i="1"/>
  <c r="H509" i="1"/>
  <c r="R508" i="1"/>
  <c r="N508" i="1"/>
  <c r="H508" i="1"/>
  <c r="R507" i="1"/>
  <c r="N507" i="1"/>
  <c r="H507" i="1"/>
  <c r="B507" i="1"/>
  <c r="B508" i="1" s="1"/>
  <c r="B509" i="1" s="1"/>
  <c r="B510" i="1" s="1"/>
  <c r="B511" i="1" s="1"/>
  <c r="R506" i="1"/>
  <c r="N506" i="1"/>
  <c r="H506" i="1"/>
  <c r="T502" i="1"/>
  <c r="O502" i="1"/>
  <c r="M502" i="1"/>
  <c r="L502" i="1"/>
  <c r="K502" i="1"/>
  <c r="J502" i="1"/>
  <c r="I502" i="1"/>
  <c r="P500" i="1"/>
  <c r="N500" i="1"/>
  <c r="H500" i="1"/>
  <c r="P499" i="1"/>
  <c r="N499" i="1"/>
  <c r="H499" i="1"/>
  <c r="P498" i="1"/>
  <c r="N498" i="1"/>
  <c r="F498" i="1"/>
  <c r="H498" i="1" s="1"/>
  <c r="B498" i="1"/>
  <c r="B499" i="1" s="1"/>
  <c r="B500" i="1" s="1"/>
  <c r="P497" i="1"/>
  <c r="N497" i="1"/>
  <c r="H497" i="1"/>
  <c r="T492" i="1"/>
  <c r="O492" i="1"/>
  <c r="M492" i="1"/>
  <c r="L492" i="1"/>
  <c r="K492" i="1"/>
  <c r="J492" i="1"/>
  <c r="I492" i="1"/>
  <c r="F492" i="1"/>
  <c r="R490" i="1"/>
  <c r="N490" i="1"/>
  <c r="H490" i="1"/>
  <c r="R487" i="1"/>
  <c r="N487" i="1"/>
  <c r="H487" i="1"/>
  <c r="R486" i="1"/>
  <c r="N486" i="1"/>
  <c r="H486" i="1"/>
  <c r="R485" i="1"/>
  <c r="N485" i="1"/>
  <c r="H485" i="1"/>
  <c r="R484" i="1"/>
  <c r="N484" i="1"/>
  <c r="H484" i="1"/>
  <c r="R483" i="1"/>
  <c r="N483" i="1"/>
  <c r="H483" i="1"/>
  <c r="R482" i="1"/>
  <c r="N482" i="1"/>
  <c r="H482" i="1"/>
  <c r="R481" i="1"/>
  <c r="N481" i="1"/>
  <c r="H481" i="1"/>
  <c r="B481" i="1"/>
  <c r="B482" i="1" s="1"/>
  <c r="B483" i="1" s="1"/>
  <c r="B484" i="1" s="1"/>
  <c r="B485" i="1" s="1"/>
  <c r="B486" i="1" s="1"/>
  <c r="B487" i="1" s="1"/>
  <c r="P480" i="1"/>
  <c r="N480" i="1"/>
  <c r="H480" i="1"/>
  <c r="T475" i="1"/>
  <c r="O475" i="1"/>
  <c r="M475" i="1"/>
  <c r="L475" i="1"/>
  <c r="K475" i="1"/>
  <c r="J475" i="1"/>
  <c r="I475" i="1"/>
  <c r="R473" i="1"/>
  <c r="N473" i="1"/>
  <c r="H473" i="1"/>
  <c r="P472" i="1"/>
  <c r="R472" i="1" s="1"/>
  <c r="N472" i="1"/>
  <c r="H472" i="1"/>
  <c r="R471" i="1"/>
  <c r="N471" i="1"/>
  <c r="H471" i="1"/>
  <c r="R470" i="1"/>
  <c r="N470" i="1"/>
  <c r="H470" i="1"/>
  <c r="P469" i="1"/>
  <c r="N469" i="1"/>
  <c r="H469" i="1"/>
  <c r="P468" i="1"/>
  <c r="N468" i="1"/>
  <c r="H468" i="1"/>
  <c r="R467" i="1"/>
  <c r="N467" i="1"/>
  <c r="H467" i="1"/>
  <c r="P466" i="1"/>
  <c r="R466" i="1" s="1"/>
  <c r="N466" i="1"/>
  <c r="H466" i="1"/>
  <c r="R465" i="1"/>
  <c r="N465" i="1"/>
  <c r="H465" i="1"/>
  <c r="P464" i="1"/>
  <c r="N464" i="1"/>
  <c r="H464" i="1"/>
  <c r="R463" i="1"/>
  <c r="N463" i="1"/>
  <c r="H463" i="1"/>
  <c r="P462" i="1"/>
  <c r="N462" i="1"/>
  <c r="H462" i="1"/>
  <c r="P461" i="1"/>
  <c r="R461" i="1" s="1"/>
  <c r="N461" i="1"/>
  <c r="F461" i="1"/>
  <c r="P460" i="1"/>
  <c r="N460" i="1"/>
  <c r="H460" i="1"/>
  <c r="B460" i="1"/>
  <c r="P459" i="1"/>
  <c r="R459" i="1" s="1"/>
  <c r="N459" i="1"/>
  <c r="F459" i="1"/>
  <c r="T453" i="1"/>
  <c r="O453" i="1"/>
  <c r="M453" i="1"/>
  <c r="L453" i="1"/>
  <c r="K453" i="1"/>
  <c r="J453" i="1"/>
  <c r="I453" i="1"/>
  <c r="F453" i="1"/>
  <c r="R451" i="1"/>
  <c r="N451" i="1"/>
  <c r="H451" i="1"/>
  <c r="R450" i="1"/>
  <c r="N450" i="1"/>
  <c r="H450" i="1"/>
  <c r="R449" i="1"/>
  <c r="N449" i="1"/>
  <c r="H449" i="1"/>
  <c r="B449" i="1"/>
  <c r="B450" i="1" s="1"/>
  <c r="B451" i="1" s="1"/>
  <c r="P448" i="1"/>
  <c r="R448" i="1" s="1"/>
  <c r="N448" i="1"/>
  <c r="H448" i="1"/>
  <c r="T443" i="1"/>
  <c r="O443" i="1"/>
  <c r="M443" i="1"/>
  <c r="L443" i="1"/>
  <c r="K443" i="1"/>
  <c r="I443" i="1"/>
  <c r="F443" i="1"/>
  <c r="R441" i="1"/>
  <c r="N441" i="1"/>
  <c r="H441" i="1"/>
  <c r="P440" i="1"/>
  <c r="N440" i="1"/>
  <c r="J440" i="1"/>
  <c r="H440" i="1"/>
  <c r="B440" i="1"/>
  <c r="B441" i="1" s="1"/>
  <c r="R439" i="1"/>
  <c r="N439" i="1"/>
  <c r="H439" i="1"/>
  <c r="T434" i="1"/>
  <c r="O434" i="1"/>
  <c r="M434" i="1"/>
  <c r="L434" i="1"/>
  <c r="K434" i="1"/>
  <c r="J434" i="1"/>
  <c r="I434" i="1"/>
  <c r="F434" i="1"/>
  <c r="R432" i="1"/>
  <c r="N432" i="1"/>
  <c r="H432" i="1"/>
  <c r="R431" i="1"/>
  <c r="N431" i="1"/>
  <c r="H431" i="1"/>
  <c r="R430" i="1"/>
  <c r="N430" i="1"/>
  <c r="H430" i="1"/>
  <c r="R429" i="1"/>
  <c r="N429" i="1"/>
  <c r="H429" i="1"/>
  <c r="B429" i="1"/>
  <c r="R428" i="1"/>
  <c r="N428" i="1"/>
  <c r="H428" i="1"/>
  <c r="T423" i="1"/>
  <c r="O423" i="1"/>
  <c r="M423" i="1"/>
  <c r="L423" i="1"/>
  <c r="K423" i="1"/>
  <c r="J423" i="1"/>
  <c r="R421" i="1"/>
  <c r="N421" i="1"/>
  <c r="H421" i="1"/>
  <c r="B421" i="1"/>
  <c r="R420" i="1"/>
  <c r="N420" i="1"/>
  <c r="H420" i="1"/>
  <c r="R416" i="1"/>
  <c r="N416" i="1"/>
  <c r="H416" i="1"/>
  <c r="R415" i="1"/>
  <c r="N415" i="1"/>
  <c r="H415" i="1"/>
  <c r="R414" i="1"/>
  <c r="N414" i="1"/>
  <c r="H414" i="1"/>
  <c r="R413" i="1"/>
  <c r="N413" i="1"/>
  <c r="H413" i="1"/>
  <c r="P412" i="1"/>
  <c r="R412" i="1" s="1"/>
  <c r="N412" i="1"/>
  <c r="H412" i="1"/>
  <c r="R411" i="1"/>
  <c r="N411" i="1"/>
  <c r="H411" i="1"/>
  <c r="R410" i="1"/>
  <c r="N410" i="1"/>
  <c r="H410" i="1"/>
  <c r="R409" i="1"/>
  <c r="N409" i="1"/>
  <c r="H409" i="1"/>
  <c r="R408" i="1"/>
  <c r="N408" i="1"/>
  <c r="H408" i="1"/>
  <c r="R407" i="1"/>
  <c r="N407" i="1"/>
  <c r="H407" i="1"/>
  <c r="R406" i="1"/>
  <c r="N406" i="1"/>
  <c r="I406" i="1"/>
  <c r="H406" i="1"/>
  <c r="R405" i="1"/>
  <c r="N405" i="1"/>
  <c r="H405" i="1"/>
  <c r="R404" i="1"/>
  <c r="N404" i="1"/>
  <c r="H404" i="1"/>
  <c r="R403" i="1"/>
  <c r="N403" i="1"/>
  <c r="H403" i="1"/>
  <c r="R402" i="1"/>
  <c r="N402" i="1"/>
  <c r="H402" i="1"/>
  <c r="P401" i="1"/>
  <c r="R401" i="1" s="1"/>
  <c r="N401" i="1"/>
  <c r="H401" i="1"/>
  <c r="P400" i="1"/>
  <c r="N400" i="1"/>
  <c r="F400" i="1"/>
  <c r="H400" i="1" s="1"/>
  <c r="B400" i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5" i="1" s="1"/>
  <c r="B416" i="1" s="1"/>
  <c r="P399" i="1"/>
  <c r="R399" i="1" s="1"/>
  <c r="N399" i="1"/>
  <c r="H399" i="1"/>
  <c r="T394" i="1"/>
  <c r="O394" i="1"/>
  <c r="M394" i="1"/>
  <c r="L394" i="1"/>
  <c r="K394" i="1"/>
  <c r="F394" i="1"/>
  <c r="R392" i="1"/>
  <c r="N392" i="1"/>
  <c r="H392" i="1"/>
  <c r="R391" i="1"/>
  <c r="N391" i="1"/>
  <c r="H391" i="1"/>
  <c r="R390" i="1"/>
  <c r="N390" i="1"/>
  <c r="H390" i="1"/>
  <c r="R389" i="1"/>
  <c r="N389" i="1"/>
  <c r="H389" i="1"/>
  <c r="B389" i="1"/>
  <c r="B390" i="1" s="1"/>
  <c r="B391" i="1" s="1"/>
  <c r="B392" i="1" s="1"/>
  <c r="R388" i="1"/>
  <c r="N388" i="1"/>
  <c r="H388" i="1"/>
  <c r="R384" i="1"/>
  <c r="N384" i="1"/>
  <c r="H384" i="1"/>
  <c r="R383" i="1"/>
  <c r="N383" i="1"/>
  <c r="I383" i="1"/>
  <c r="H383" i="1"/>
  <c r="R382" i="1"/>
  <c r="N382" i="1"/>
  <c r="H382" i="1"/>
  <c r="R381" i="1"/>
  <c r="N381" i="1"/>
  <c r="H381" i="1"/>
  <c r="R380" i="1"/>
  <c r="N380" i="1"/>
  <c r="H380" i="1"/>
  <c r="R379" i="1"/>
  <c r="N379" i="1"/>
  <c r="H379" i="1"/>
  <c r="R378" i="1"/>
  <c r="N378" i="1"/>
  <c r="H378" i="1"/>
  <c r="R377" i="1"/>
  <c r="N377" i="1"/>
  <c r="H377" i="1"/>
  <c r="R376" i="1"/>
  <c r="N376" i="1"/>
  <c r="H376" i="1"/>
  <c r="R375" i="1"/>
  <c r="N375" i="1"/>
  <c r="H375" i="1"/>
  <c r="P374" i="1"/>
  <c r="N374" i="1"/>
  <c r="H374" i="1"/>
  <c r="R373" i="1"/>
  <c r="N373" i="1"/>
  <c r="H373" i="1"/>
  <c r="R372" i="1"/>
  <c r="N372" i="1"/>
  <c r="H372" i="1"/>
  <c r="R371" i="1"/>
  <c r="N371" i="1"/>
  <c r="J371" i="1"/>
  <c r="H371" i="1"/>
  <c r="P370" i="1"/>
  <c r="R370" i="1" s="1"/>
  <c r="N370" i="1"/>
  <c r="H370" i="1"/>
  <c r="R369" i="1"/>
  <c r="N369" i="1"/>
  <c r="H369" i="1"/>
  <c r="R368" i="1"/>
  <c r="N368" i="1"/>
  <c r="H368" i="1"/>
  <c r="R367" i="1"/>
  <c r="N367" i="1"/>
  <c r="H367" i="1"/>
  <c r="R366" i="1"/>
  <c r="N366" i="1"/>
  <c r="H366" i="1"/>
  <c r="R365" i="1"/>
  <c r="N365" i="1"/>
  <c r="H365" i="1"/>
  <c r="R364" i="1"/>
  <c r="N364" i="1"/>
  <c r="H364" i="1"/>
  <c r="R363" i="1"/>
  <c r="N363" i="1"/>
  <c r="H363" i="1"/>
  <c r="R362" i="1"/>
  <c r="N362" i="1"/>
  <c r="H362" i="1"/>
  <c r="B362" i="1"/>
  <c r="B363" i="1" s="1"/>
  <c r="P361" i="1"/>
  <c r="N361" i="1"/>
  <c r="H361" i="1"/>
  <c r="T356" i="1"/>
  <c r="O356" i="1"/>
  <c r="M356" i="1"/>
  <c r="L356" i="1"/>
  <c r="K356" i="1"/>
  <c r="J356" i="1"/>
  <c r="I356" i="1"/>
  <c r="F356" i="1"/>
  <c r="R355" i="1"/>
  <c r="N355" i="1"/>
  <c r="H355" i="1"/>
  <c r="B355" i="1"/>
  <c r="B356" i="1" s="1"/>
  <c r="R354" i="1"/>
  <c r="N354" i="1"/>
  <c r="H354" i="1"/>
  <c r="T348" i="1"/>
  <c r="O348" i="1"/>
  <c r="M348" i="1"/>
  <c r="L348" i="1"/>
  <c r="K348" i="1"/>
  <c r="I348" i="1"/>
  <c r="F348" i="1"/>
  <c r="R346" i="1"/>
  <c r="N346" i="1"/>
  <c r="H346" i="1"/>
  <c r="R345" i="1"/>
  <c r="N345" i="1"/>
  <c r="H345" i="1"/>
  <c r="R344" i="1"/>
  <c r="N344" i="1"/>
  <c r="H344" i="1"/>
  <c r="B344" i="1"/>
  <c r="B345" i="1" s="1"/>
  <c r="B346" i="1" s="1"/>
  <c r="R343" i="1"/>
  <c r="N343" i="1"/>
  <c r="H343" i="1"/>
  <c r="R340" i="1"/>
  <c r="N340" i="1"/>
  <c r="H340" i="1"/>
  <c r="R339" i="1"/>
  <c r="N339" i="1"/>
  <c r="H339" i="1"/>
  <c r="R338" i="1"/>
  <c r="N338" i="1"/>
  <c r="H338" i="1"/>
  <c r="R337" i="1"/>
  <c r="N337" i="1"/>
  <c r="H337" i="1"/>
  <c r="R336" i="1"/>
  <c r="N336" i="1"/>
  <c r="J336" i="1"/>
  <c r="H336" i="1"/>
  <c r="B336" i="1"/>
  <c r="R335" i="1"/>
  <c r="N335" i="1"/>
  <c r="H335" i="1"/>
  <c r="T330" i="1"/>
  <c r="O330" i="1"/>
  <c r="M330" i="1"/>
  <c r="L330" i="1"/>
  <c r="K330" i="1"/>
  <c r="J330" i="1"/>
  <c r="I330" i="1"/>
  <c r="F330" i="1"/>
  <c r="B330" i="1"/>
  <c r="R328" i="1"/>
  <c r="N328" i="1"/>
  <c r="N330" i="1" s="1"/>
  <c r="H328" i="1"/>
  <c r="T323" i="1"/>
  <c r="O323" i="1"/>
  <c r="M323" i="1"/>
  <c r="L323" i="1"/>
  <c r="K323" i="1"/>
  <c r="I323" i="1"/>
  <c r="F323" i="1"/>
  <c r="R321" i="1"/>
  <c r="N321" i="1"/>
  <c r="H321" i="1"/>
  <c r="R320" i="1"/>
  <c r="N320" i="1"/>
  <c r="H320" i="1"/>
  <c r="R319" i="1"/>
  <c r="N319" i="1"/>
  <c r="H319" i="1"/>
  <c r="R318" i="1"/>
  <c r="N318" i="1"/>
  <c r="H318" i="1"/>
  <c r="R317" i="1"/>
  <c r="N317" i="1"/>
  <c r="H317" i="1"/>
  <c r="R316" i="1"/>
  <c r="N316" i="1"/>
  <c r="H316" i="1"/>
  <c r="R315" i="1"/>
  <c r="N315" i="1"/>
  <c r="H315" i="1"/>
  <c r="R314" i="1"/>
  <c r="N314" i="1"/>
  <c r="H314" i="1"/>
  <c r="R313" i="1"/>
  <c r="N313" i="1"/>
  <c r="H313" i="1"/>
  <c r="R312" i="1"/>
  <c r="N312" i="1"/>
  <c r="H312" i="1"/>
  <c r="R311" i="1"/>
  <c r="N311" i="1"/>
  <c r="H311" i="1"/>
  <c r="R310" i="1"/>
  <c r="N310" i="1"/>
  <c r="H310" i="1"/>
  <c r="R309" i="1"/>
  <c r="N309" i="1"/>
  <c r="H309" i="1"/>
  <c r="R308" i="1"/>
  <c r="N308" i="1"/>
  <c r="H308" i="1"/>
  <c r="R307" i="1"/>
  <c r="N307" i="1"/>
  <c r="H307" i="1"/>
  <c r="B307" i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R306" i="1"/>
  <c r="N306" i="1"/>
  <c r="H306" i="1"/>
  <c r="R303" i="1"/>
  <c r="N303" i="1"/>
  <c r="J303" i="1"/>
  <c r="J323" i="1" s="1"/>
  <c r="H303" i="1"/>
  <c r="R302" i="1"/>
  <c r="N302" i="1"/>
  <c r="H302" i="1"/>
  <c r="R301" i="1"/>
  <c r="N301" i="1"/>
  <c r="H301" i="1"/>
  <c r="P300" i="1"/>
  <c r="R300" i="1" s="1"/>
  <c r="N300" i="1"/>
  <c r="H300" i="1"/>
  <c r="R299" i="1"/>
  <c r="N299" i="1"/>
  <c r="H299" i="1"/>
  <c r="R298" i="1"/>
  <c r="N298" i="1"/>
  <c r="H298" i="1"/>
  <c r="R297" i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R292" i="1"/>
  <c r="N292" i="1"/>
  <c r="H292" i="1"/>
  <c r="R291" i="1"/>
  <c r="N291" i="1"/>
  <c r="H291" i="1"/>
  <c r="R290" i="1"/>
  <c r="N290" i="1"/>
  <c r="H290" i="1"/>
  <c r="R289" i="1"/>
  <c r="N289" i="1"/>
  <c r="H289" i="1"/>
  <c r="R288" i="1"/>
  <c r="N288" i="1"/>
  <c r="H288" i="1"/>
  <c r="R287" i="1"/>
  <c r="N287" i="1"/>
  <c r="H287" i="1"/>
  <c r="R286" i="1"/>
  <c r="N286" i="1"/>
  <c r="H286" i="1"/>
  <c r="P285" i="1"/>
  <c r="N285" i="1"/>
  <c r="H285" i="1"/>
  <c r="R284" i="1"/>
  <c r="N284" i="1"/>
  <c r="H284" i="1"/>
  <c r="R283" i="1"/>
  <c r="N283" i="1"/>
  <c r="H283" i="1"/>
  <c r="R282" i="1"/>
  <c r="N282" i="1"/>
  <c r="H282" i="1"/>
  <c r="R281" i="1"/>
  <c r="N281" i="1"/>
  <c r="H281" i="1"/>
  <c r="R280" i="1"/>
  <c r="N280" i="1"/>
  <c r="H280" i="1"/>
  <c r="R279" i="1"/>
  <c r="N279" i="1"/>
  <c r="H279" i="1"/>
  <c r="R278" i="1"/>
  <c r="N278" i="1"/>
  <c r="H278" i="1"/>
  <c r="R277" i="1"/>
  <c r="N277" i="1"/>
  <c r="H277" i="1"/>
  <c r="R276" i="1"/>
  <c r="N276" i="1"/>
  <c r="H276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B271" i="1"/>
  <c r="R270" i="1"/>
  <c r="N270" i="1"/>
  <c r="H270" i="1"/>
  <c r="T265" i="1"/>
  <c r="O265" i="1"/>
  <c r="M265" i="1"/>
  <c r="L265" i="1"/>
  <c r="K265" i="1"/>
  <c r="J265" i="1"/>
  <c r="I265" i="1"/>
  <c r="F265" i="1"/>
  <c r="R263" i="1"/>
  <c r="N263" i="1"/>
  <c r="H263" i="1"/>
  <c r="R262" i="1"/>
  <c r="N262" i="1"/>
  <c r="H262" i="1"/>
  <c r="B262" i="1"/>
  <c r="B263" i="1" s="1"/>
  <c r="R261" i="1"/>
  <c r="N261" i="1"/>
  <c r="H261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B254" i="1"/>
  <c r="B255" i="1" s="1"/>
  <c r="B256" i="1" s="1"/>
  <c r="B257" i="1" s="1"/>
  <c r="B258" i="1" s="1"/>
  <c r="R253" i="1"/>
  <c r="N253" i="1"/>
  <c r="H253" i="1"/>
  <c r="T248" i="1"/>
  <c r="O248" i="1"/>
  <c r="I248" i="1"/>
  <c r="F248" i="1"/>
  <c r="R246" i="1"/>
  <c r="N246" i="1"/>
  <c r="H246" i="1"/>
  <c r="R245" i="1"/>
  <c r="N245" i="1"/>
  <c r="H245" i="1"/>
  <c r="R244" i="1"/>
  <c r="N244" i="1"/>
  <c r="H244" i="1"/>
  <c r="R243" i="1"/>
  <c r="N243" i="1"/>
  <c r="H243" i="1"/>
  <c r="R242" i="1"/>
  <c r="N242" i="1"/>
  <c r="H242" i="1"/>
  <c r="R241" i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R234" i="1"/>
  <c r="N234" i="1"/>
  <c r="H234" i="1"/>
  <c r="R233" i="1"/>
  <c r="N233" i="1"/>
  <c r="H233" i="1"/>
  <c r="R232" i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R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B222" i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R221" i="1"/>
  <c r="N221" i="1"/>
  <c r="H221" i="1"/>
  <c r="R218" i="1"/>
  <c r="N218" i="1"/>
  <c r="H218" i="1"/>
  <c r="R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R210" i="1"/>
  <c r="N210" i="1"/>
  <c r="H210" i="1"/>
  <c r="R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R201" i="1"/>
  <c r="N201" i="1"/>
  <c r="H201" i="1"/>
  <c r="R200" i="1"/>
  <c r="N200" i="1"/>
  <c r="H200" i="1"/>
  <c r="R199" i="1"/>
  <c r="N199" i="1"/>
  <c r="H199" i="1"/>
  <c r="R198" i="1"/>
  <c r="N198" i="1"/>
  <c r="H198" i="1"/>
  <c r="R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J191" i="1"/>
  <c r="J248" i="1" s="1"/>
  <c r="H191" i="1"/>
  <c r="R190" i="1"/>
  <c r="N190" i="1"/>
  <c r="H190" i="1"/>
  <c r="R189" i="1"/>
  <c r="N189" i="1"/>
  <c r="H189" i="1"/>
  <c r="R188" i="1"/>
  <c r="N188" i="1"/>
  <c r="H188" i="1"/>
  <c r="R187" i="1"/>
  <c r="M187" i="1"/>
  <c r="M248" i="1" s="1"/>
  <c r="L187" i="1"/>
  <c r="L248" i="1" s="1"/>
  <c r="K187" i="1"/>
  <c r="H187" i="1"/>
  <c r="R186" i="1"/>
  <c r="N186" i="1"/>
  <c r="H186" i="1"/>
  <c r="R185" i="1"/>
  <c r="N185" i="1"/>
  <c r="H185" i="1"/>
  <c r="R184" i="1"/>
  <c r="N184" i="1"/>
  <c r="H184" i="1"/>
  <c r="B184" i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R183" i="1"/>
  <c r="N183" i="1"/>
  <c r="H183" i="1"/>
  <c r="T177" i="1"/>
  <c r="O177" i="1"/>
  <c r="M177" i="1"/>
  <c r="L177" i="1"/>
  <c r="K177" i="1"/>
  <c r="I177" i="1"/>
  <c r="R175" i="1"/>
  <c r="N175" i="1"/>
  <c r="J175" i="1"/>
  <c r="H175" i="1"/>
  <c r="R174" i="1"/>
  <c r="N174" i="1"/>
  <c r="H174" i="1"/>
  <c r="B174" i="1"/>
  <c r="R173" i="1"/>
  <c r="P173" i="1"/>
  <c r="N173" i="1"/>
  <c r="F173" i="1"/>
  <c r="T168" i="1"/>
  <c r="O168" i="1"/>
  <c r="M168" i="1"/>
  <c r="L168" i="1"/>
  <c r="K168" i="1"/>
  <c r="J168" i="1"/>
  <c r="I168" i="1"/>
  <c r="F168" i="1"/>
  <c r="R166" i="1"/>
  <c r="N166" i="1"/>
  <c r="H166" i="1"/>
  <c r="R165" i="1"/>
  <c r="N165" i="1"/>
  <c r="H165" i="1"/>
  <c r="R164" i="1"/>
  <c r="N164" i="1"/>
  <c r="H164" i="1"/>
  <c r="R163" i="1"/>
  <c r="N163" i="1"/>
  <c r="H163" i="1"/>
  <c r="B163" i="1"/>
  <c r="B164" i="1" s="1"/>
  <c r="B165" i="1" s="1"/>
  <c r="B166" i="1" s="1"/>
  <c r="R162" i="1"/>
  <c r="N162" i="1"/>
  <c r="H162" i="1"/>
  <c r="R159" i="1"/>
  <c r="N159" i="1"/>
  <c r="H159" i="1"/>
  <c r="P158" i="1"/>
  <c r="N158" i="1"/>
  <c r="H158" i="1"/>
  <c r="R157" i="1"/>
  <c r="N157" i="1"/>
  <c r="H157" i="1"/>
  <c r="R156" i="1"/>
  <c r="N156" i="1"/>
  <c r="H156" i="1"/>
  <c r="R155" i="1"/>
  <c r="N155" i="1"/>
  <c r="H155" i="1"/>
  <c r="R154" i="1"/>
  <c r="N154" i="1"/>
  <c r="H154" i="1"/>
  <c r="R153" i="1"/>
  <c r="N153" i="1"/>
  <c r="H153" i="1"/>
  <c r="R152" i="1"/>
  <c r="N152" i="1"/>
  <c r="H152" i="1"/>
  <c r="P151" i="1"/>
  <c r="N151" i="1"/>
  <c r="H151" i="1"/>
  <c r="R150" i="1"/>
  <c r="N150" i="1"/>
  <c r="H150" i="1"/>
  <c r="R149" i="1"/>
  <c r="N149" i="1"/>
  <c r="H149" i="1"/>
  <c r="P148" i="1"/>
  <c r="N148" i="1"/>
  <c r="H148" i="1"/>
  <c r="R147" i="1"/>
  <c r="N147" i="1"/>
  <c r="H147" i="1"/>
  <c r="Q146" i="1"/>
  <c r="R146" i="1" s="1"/>
  <c r="N146" i="1"/>
  <c r="H146" i="1"/>
  <c r="P145" i="1"/>
  <c r="R145" i="1" s="1"/>
  <c r="N145" i="1"/>
  <c r="H145" i="1"/>
  <c r="P144" i="1"/>
  <c r="N144" i="1"/>
  <c r="H144" i="1"/>
  <c r="R143" i="1"/>
  <c r="N143" i="1"/>
  <c r="H143" i="1"/>
  <c r="R142" i="1"/>
  <c r="N142" i="1"/>
  <c r="H142" i="1"/>
  <c r="P141" i="1"/>
  <c r="N141" i="1"/>
  <c r="H141" i="1"/>
  <c r="R140" i="1"/>
  <c r="N140" i="1"/>
  <c r="H140" i="1"/>
  <c r="P139" i="1"/>
  <c r="N139" i="1"/>
  <c r="H139" i="1"/>
  <c r="R138" i="1"/>
  <c r="N138" i="1"/>
  <c r="H138" i="1"/>
  <c r="P137" i="1"/>
  <c r="N137" i="1"/>
  <c r="H137" i="1"/>
  <c r="B137" i="1"/>
  <c r="P136" i="1"/>
  <c r="N136" i="1"/>
  <c r="H136" i="1"/>
  <c r="T131" i="1"/>
  <c r="O131" i="1"/>
  <c r="M131" i="1"/>
  <c r="L131" i="1"/>
  <c r="J131" i="1"/>
  <c r="I131" i="1"/>
  <c r="F131" i="1"/>
  <c r="P129" i="1"/>
  <c r="R129" i="1" s="1"/>
  <c r="N129" i="1"/>
  <c r="H129" i="1"/>
  <c r="P128" i="1"/>
  <c r="R128" i="1" s="1"/>
  <c r="N128" i="1"/>
  <c r="H128" i="1"/>
  <c r="R127" i="1"/>
  <c r="N127" i="1"/>
  <c r="H127" i="1"/>
  <c r="R126" i="1"/>
  <c r="N126" i="1"/>
  <c r="H126" i="1"/>
  <c r="P125" i="1"/>
  <c r="N125" i="1"/>
  <c r="H125" i="1"/>
  <c r="R124" i="1"/>
  <c r="N124" i="1"/>
  <c r="H124" i="1"/>
  <c r="R123" i="1"/>
  <c r="N123" i="1"/>
  <c r="K123" i="1"/>
  <c r="H123" i="1"/>
  <c r="P122" i="1"/>
  <c r="R122" i="1" s="1"/>
  <c r="N122" i="1"/>
  <c r="H122" i="1"/>
  <c r="P121" i="1"/>
  <c r="N121" i="1"/>
  <c r="H121" i="1"/>
  <c r="R120" i="1"/>
  <c r="N120" i="1"/>
  <c r="H120" i="1"/>
  <c r="P119" i="1"/>
  <c r="N119" i="1"/>
  <c r="H119" i="1"/>
  <c r="P118" i="1"/>
  <c r="N118" i="1"/>
  <c r="H118" i="1"/>
  <c r="P117" i="1"/>
  <c r="R117" i="1" s="1"/>
  <c r="N117" i="1"/>
  <c r="H117" i="1"/>
  <c r="R116" i="1"/>
  <c r="N116" i="1"/>
  <c r="H116" i="1"/>
  <c r="R115" i="1"/>
  <c r="N115" i="1"/>
  <c r="H115" i="1"/>
  <c r="P114" i="1"/>
  <c r="R114" i="1" s="1"/>
  <c r="N114" i="1"/>
  <c r="H114" i="1"/>
  <c r="P113" i="1"/>
  <c r="N113" i="1"/>
  <c r="H113" i="1"/>
  <c r="P112" i="1"/>
  <c r="R112" i="1" s="1"/>
  <c r="N112" i="1"/>
  <c r="H112" i="1"/>
  <c r="R111" i="1"/>
  <c r="N111" i="1"/>
  <c r="H111" i="1"/>
  <c r="B111" i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P110" i="1"/>
  <c r="N110" i="1"/>
  <c r="H110" i="1"/>
  <c r="T105" i="1"/>
  <c r="L105" i="1"/>
  <c r="I105" i="1"/>
  <c r="F105" i="1"/>
  <c r="R103" i="1"/>
  <c r="N103" i="1"/>
  <c r="H103" i="1"/>
  <c r="R102" i="1"/>
  <c r="N102" i="1"/>
  <c r="H102" i="1"/>
  <c r="R101" i="1"/>
  <c r="N101" i="1"/>
  <c r="J101" i="1"/>
  <c r="H101" i="1"/>
  <c r="R100" i="1"/>
  <c r="O100" i="1"/>
  <c r="M100" i="1"/>
  <c r="H100" i="1"/>
  <c r="B100" i="1"/>
  <c r="B101" i="1" s="1"/>
  <c r="B102" i="1" s="1"/>
  <c r="B103" i="1" s="1"/>
  <c r="R99" i="1"/>
  <c r="N99" i="1"/>
  <c r="H99" i="1"/>
  <c r="R96" i="1"/>
  <c r="N96" i="1"/>
  <c r="K96" i="1"/>
  <c r="H96" i="1"/>
  <c r="R95" i="1"/>
  <c r="N95" i="1"/>
  <c r="H95" i="1"/>
  <c r="R94" i="1"/>
  <c r="N94" i="1"/>
  <c r="H94" i="1"/>
  <c r="R93" i="1"/>
  <c r="N93" i="1"/>
  <c r="H93" i="1"/>
  <c r="P92" i="1"/>
  <c r="N92" i="1"/>
  <c r="H92" i="1"/>
  <c r="R91" i="1"/>
  <c r="N91" i="1"/>
  <c r="K91" i="1"/>
  <c r="H91" i="1"/>
  <c r="P90" i="1"/>
  <c r="R90" i="1" s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N84" i="1"/>
  <c r="H84" i="1"/>
  <c r="R83" i="1"/>
  <c r="N83" i="1"/>
  <c r="H83" i="1"/>
  <c r="R82" i="1"/>
  <c r="N82" i="1"/>
  <c r="H82" i="1"/>
  <c r="R81" i="1"/>
  <c r="N81" i="1"/>
  <c r="H81" i="1"/>
  <c r="R80" i="1"/>
  <c r="N80" i="1"/>
  <c r="H80" i="1"/>
  <c r="R79" i="1"/>
  <c r="N79" i="1"/>
  <c r="H79" i="1"/>
  <c r="R78" i="1"/>
  <c r="N78" i="1"/>
  <c r="J78" i="1"/>
  <c r="H78" i="1"/>
  <c r="R77" i="1"/>
  <c r="N77" i="1"/>
  <c r="H77" i="1"/>
  <c r="R76" i="1"/>
  <c r="N76" i="1"/>
  <c r="H76" i="1"/>
  <c r="R75" i="1"/>
  <c r="N75" i="1"/>
  <c r="H75" i="1"/>
  <c r="P74" i="1"/>
  <c r="R74" i="1" s="1"/>
  <c r="M74" i="1"/>
  <c r="M105" i="1" s="1"/>
  <c r="H74" i="1"/>
  <c r="P73" i="1"/>
  <c r="N73" i="1"/>
  <c r="H73" i="1"/>
  <c r="R72" i="1"/>
  <c r="N72" i="1"/>
  <c r="H72" i="1"/>
  <c r="R71" i="1"/>
  <c r="N71" i="1"/>
  <c r="H71" i="1"/>
  <c r="P70" i="1"/>
  <c r="N70" i="1"/>
  <c r="H70" i="1"/>
  <c r="R69" i="1"/>
  <c r="N69" i="1"/>
  <c r="H69" i="1"/>
  <c r="R68" i="1"/>
  <c r="N68" i="1"/>
  <c r="H68" i="1"/>
  <c r="R67" i="1"/>
  <c r="N67" i="1"/>
  <c r="H67" i="1"/>
  <c r="B67" i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R66" i="1"/>
  <c r="N66" i="1"/>
  <c r="H66" i="1"/>
  <c r="T61" i="1"/>
  <c r="O61" i="1"/>
  <c r="M61" i="1"/>
  <c r="L61" i="1"/>
  <c r="K61" i="1"/>
  <c r="J61" i="1"/>
  <c r="I61" i="1"/>
  <c r="F61" i="1"/>
  <c r="R59" i="1"/>
  <c r="N59" i="1"/>
  <c r="H59" i="1"/>
  <c r="R58" i="1"/>
  <c r="N58" i="1"/>
  <c r="H58" i="1"/>
  <c r="R57" i="1"/>
  <c r="N57" i="1"/>
  <c r="H57" i="1"/>
  <c r="R56" i="1"/>
  <c r="N56" i="1"/>
  <c r="H56" i="1"/>
  <c r="B56" i="1"/>
  <c r="B57" i="1" s="1"/>
  <c r="B58" i="1" s="1"/>
  <c r="B59" i="1" s="1"/>
  <c r="R55" i="1"/>
  <c r="N55" i="1"/>
  <c r="H55" i="1"/>
  <c r="R52" i="1"/>
  <c r="N52" i="1"/>
  <c r="H52" i="1"/>
  <c r="B52" i="1"/>
  <c r="R51" i="1"/>
  <c r="N51" i="1"/>
  <c r="H51" i="1"/>
  <c r="T46" i="1"/>
  <c r="O46" i="1"/>
  <c r="M46" i="1"/>
  <c r="L46" i="1"/>
  <c r="J46" i="1"/>
  <c r="F46" i="1"/>
  <c r="R44" i="1"/>
  <c r="N44" i="1"/>
  <c r="H44" i="1"/>
  <c r="B44" i="1"/>
  <c r="R43" i="1"/>
  <c r="N43" i="1"/>
  <c r="H43" i="1"/>
  <c r="R40" i="1"/>
  <c r="N40" i="1"/>
  <c r="H40" i="1"/>
  <c r="R39" i="1"/>
  <c r="N39" i="1"/>
  <c r="H39" i="1"/>
  <c r="R38" i="1"/>
  <c r="N38" i="1"/>
  <c r="H38" i="1"/>
  <c r="R37" i="1"/>
  <c r="N37" i="1"/>
  <c r="H37" i="1"/>
  <c r="R36" i="1"/>
  <c r="N36" i="1"/>
  <c r="H36" i="1"/>
  <c r="R35" i="1"/>
  <c r="N35" i="1"/>
  <c r="H35" i="1"/>
  <c r="R34" i="1"/>
  <c r="N34" i="1"/>
  <c r="H34" i="1"/>
  <c r="P33" i="1"/>
  <c r="R33" i="1" s="1"/>
  <c r="N33" i="1"/>
  <c r="H33" i="1"/>
  <c r="R32" i="1"/>
  <c r="N32" i="1"/>
  <c r="H32" i="1"/>
  <c r="R31" i="1"/>
  <c r="N31" i="1"/>
  <c r="H31" i="1"/>
  <c r="R30" i="1"/>
  <c r="N30" i="1"/>
  <c r="H30" i="1"/>
  <c r="R29" i="1"/>
  <c r="N29" i="1"/>
  <c r="H29" i="1"/>
  <c r="R28" i="1"/>
  <c r="N28" i="1"/>
  <c r="H28" i="1"/>
  <c r="R27" i="1"/>
  <c r="N27" i="1"/>
  <c r="K27" i="1"/>
  <c r="K46" i="1" s="1"/>
  <c r="H27" i="1"/>
  <c r="R26" i="1"/>
  <c r="N26" i="1"/>
  <c r="H26" i="1"/>
  <c r="R25" i="1"/>
  <c r="N25" i="1"/>
  <c r="H25" i="1"/>
  <c r="R24" i="1"/>
  <c r="N24" i="1"/>
  <c r="H24" i="1"/>
  <c r="R23" i="1"/>
  <c r="N23" i="1"/>
  <c r="H23" i="1"/>
  <c r="R22" i="1"/>
  <c r="N22" i="1"/>
  <c r="H22" i="1"/>
  <c r="B22" i="1"/>
  <c r="B23" i="1" s="1"/>
  <c r="B24" i="1" s="1"/>
  <c r="B25" i="1" s="1"/>
  <c r="R21" i="1"/>
  <c r="N21" i="1"/>
  <c r="I21" i="1"/>
  <c r="H21" i="1"/>
  <c r="T16" i="1"/>
  <c r="O16" i="1"/>
  <c r="M16" i="1"/>
  <c r="L16" i="1"/>
  <c r="K16" i="1"/>
  <c r="J16" i="1"/>
  <c r="I16" i="1"/>
  <c r="F16" i="1"/>
  <c r="R14" i="1"/>
  <c r="N14" i="1"/>
  <c r="H14" i="1"/>
  <c r="B14" i="1"/>
  <c r="R13" i="1"/>
  <c r="N13" i="1"/>
  <c r="H13" i="1"/>
  <c r="R10" i="1"/>
  <c r="N10" i="1"/>
  <c r="H10" i="1"/>
  <c r="P9" i="1"/>
  <c r="R9" i="1" s="1"/>
  <c r="N9" i="1"/>
  <c r="H9" i="1"/>
  <c r="B9" i="1"/>
  <c r="P8" i="1"/>
  <c r="N8" i="1"/>
  <c r="H8" i="1"/>
  <c r="R158" i="1" l="1"/>
  <c r="R499" i="1"/>
  <c r="R633" i="1"/>
  <c r="R497" i="1"/>
  <c r="N804" i="1"/>
  <c r="R723" i="1"/>
  <c r="N492" i="1"/>
  <c r="R144" i="1"/>
  <c r="F749" i="1"/>
  <c r="R462" i="1"/>
  <c r="R361" i="1"/>
  <c r="R655" i="1"/>
  <c r="R70" i="1"/>
  <c r="J749" i="1"/>
  <c r="F502" i="1"/>
  <c r="N573" i="1"/>
  <c r="N584" i="1"/>
  <c r="R781" i="1"/>
  <c r="H537" i="1"/>
  <c r="R139" i="1"/>
  <c r="N100" i="1"/>
  <c r="J105" i="1"/>
  <c r="K105" i="1"/>
  <c r="N502" i="1"/>
  <c r="R513" i="1"/>
  <c r="R613" i="1"/>
  <c r="N348" i="1"/>
  <c r="H804" i="1"/>
  <c r="N61" i="1"/>
  <c r="B61" i="1"/>
  <c r="R110" i="1"/>
  <c r="R148" i="1"/>
  <c r="I46" i="1"/>
  <c r="N16" i="1"/>
  <c r="R460" i="1"/>
  <c r="R653" i="1"/>
  <c r="N74" i="1"/>
  <c r="O105" i="1"/>
  <c r="R125" i="1"/>
  <c r="N187" i="1"/>
  <c r="R731" i="1"/>
  <c r="F423" i="1"/>
  <c r="R73" i="1"/>
  <c r="R580" i="1"/>
  <c r="R512" i="1"/>
  <c r="R498" i="1"/>
  <c r="R538" i="1"/>
  <c r="R400" i="1"/>
  <c r="R510" i="1"/>
  <c r="N356" i="1"/>
  <c r="H701" i="1"/>
  <c r="R374" i="1"/>
  <c r="R92" i="1"/>
  <c r="R119" i="1"/>
  <c r="H265" i="1"/>
  <c r="N177" i="1"/>
  <c r="J394" i="1"/>
  <c r="K131" i="1"/>
  <c r="R732" i="1"/>
  <c r="B801" i="1"/>
  <c r="B802" i="1" s="1"/>
  <c r="J443" i="1"/>
  <c r="N525" i="1"/>
  <c r="R648" i="1"/>
  <c r="J793" i="1"/>
  <c r="H443" i="1"/>
  <c r="F541" i="1"/>
  <c r="B573" i="1"/>
  <c r="N701" i="1"/>
  <c r="R779" i="1"/>
  <c r="H715" i="1"/>
  <c r="N453" i="1"/>
  <c r="H502" i="1"/>
  <c r="H606" i="1"/>
  <c r="R644" i="1"/>
  <c r="N475" i="1"/>
  <c r="N434" i="1"/>
  <c r="B26" i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N168" i="1"/>
  <c r="R151" i="1"/>
  <c r="B10" i="1"/>
  <c r="B16" i="1" s="1"/>
  <c r="B248" i="1"/>
  <c r="N131" i="1"/>
  <c r="J177" i="1"/>
  <c r="H105" i="1"/>
  <c r="R8" i="1"/>
  <c r="H46" i="1"/>
  <c r="B105" i="1"/>
  <c r="R121" i="1"/>
  <c r="H16" i="1"/>
  <c r="H168" i="1"/>
  <c r="N46" i="1"/>
  <c r="B138" i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H61" i="1"/>
  <c r="H348" i="1"/>
  <c r="B512" i="1"/>
  <c r="B513" i="1" s="1"/>
  <c r="B514" i="1" s="1"/>
  <c r="B515" i="1" s="1"/>
  <c r="B516" i="1" s="1"/>
  <c r="B517" i="1" s="1"/>
  <c r="B644" i="1"/>
  <c r="B645" i="1" s="1"/>
  <c r="B646" i="1" s="1"/>
  <c r="B647" i="1" s="1"/>
  <c r="B648" i="1" s="1"/>
  <c r="B649" i="1" s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R136" i="1"/>
  <c r="H173" i="1"/>
  <c r="F177" i="1"/>
  <c r="B591" i="1"/>
  <c r="B592" i="1" s="1"/>
  <c r="B593" i="1" s="1"/>
  <c r="B594" i="1" s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H248" i="1"/>
  <c r="K248" i="1"/>
  <c r="H323" i="1"/>
  <c r="R113" i="1"/>
  <c r="R141" i="1"/>
  <c r="B337" i="1"/>
  <c r="B338" i="1" s="1"/>
  <c r="B339" i="1" s="1"/>
  <c r="B340" i="1" s="1"/>
  <c r="H423" i="1"/>
  <c r="B430" i="1"/>
  <c r="B431" i="1" s="1"/>
  <c r="B432" i="1" s="1"/>
  <c r="B175" i="1"/>
  <c r="B177" i="1" s="1"/>
  <c r="B272" i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I423" i="1"/>
  <c r="R440" i="1"/>
  <c r="N248" i="1"/>
  <c r="N323" i="1"/>
  <c r="B423" i="1"/>
  <c r="B131" i="1"/>
  <c r="R118" i="1"/>
  <c r="R137" i="1"/>
  <c r="H394" i="1"/>
  <c r="H434" i="1"/>
  <c r="H453" i="1"/>
  <c r="R285" i="1"/>
  <c r="N423" i="1"/>
  <c r="H131" i="1"/>
  <c r="B364" i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3" i="1" s="1"/>
  <c r="B384" i="1" s="1"/>
  <c r="B461" i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265" i="1"/>
  <c r="B443" i="1"/>
  <c r="B492" i="1"/>
  <c r="N265" i="1"/>
  <c r="N606" i="1"/>
  <c r="H461" i="1"/>
  <c r="H492" i="1"/>
  <c r="R531" i="1"/>
  <c r="R554" i="1"/>
  <c r="B678" i="1"/>
  <c r="B679" i="1" s="1"/>
  <c r="B680" i="1" s="1"/>
  <c r="B681" i="1" s="1"/>
  <c r="B682" i="1" s="1"/>
  <c r="B683" i="1" s="1"/>
  <c r="B684" i="1" s="1"/>
  <c r="R464" i="1"/>
  <c r="R468" i="1"/>
  <c r="B502" i="1"/>
  <c r="N560" i="1"/>
  <c r="R480" i="1"/>
  <c r="N636" i="1"/>
  <c r="R469" i="1"/>
  <c r="F560" i="1"/>
  <c r="H548" i="1"/>
  <c r="R614" i="1"/>
  <c r="R500" i="1"/>
  <c r="N541" i="1"/>
  <c r="N394" i="1"/>
  <c r="J348" i="1"/>
  <c r="I394" i="1"/>
  <c r="B453" i="1"/>
  <c r="H573" i="1"/>
  <c r="R612" i="1"/>
  <c r="B624" i="1"/>
  <c r="B625" i="1" s="1"/>
  <c r="B626" i="1" s="1"/>
  <c r="B627" i="1" s="1"/>
  <c r="B628" i="1" s="1"/>
  <c r="B629" i="1" s="1"/>
  <c r="B630" i="1" s="1"/>
  <c r="B631" i="1" s="1"/>
  <c r="B632" i="1" s="1"/>
  <c r="B633" i="1" s="1"/>
  <c r="B634" i="1" s="1"/>
  <c r="R654" i="1"/>
  <c r="R733" i="1"/>
  <c r="H330" i="1"/>
  <c r="H356" i="1"/>
  <c r="B541" i="1"/>
  <c r="H584" i="1"/>
  <c r="H525" i="1"/>
  <c r="B548" i="1"/>
  <c r="B549" i="1" s="1"/>
  <c r="B550" i="1" s="1"/>
  <c r="B551" i="1" s="1"/>
  <c r="B552" i="1" s="1"/>
  <c r="B553" i="1" s="1"/>
  <c r="B554" i="1" s="1"/>
  <c r="J670" i="1"/>
  <c r="H459" i="1"/>
  <c r="F475" i="1"/>
  <c r="B584" i="1"/>
  <c r="R590" i="1"/>
  <c r="B708" i="1"/>
  <c r="B709" i="1" s="1"/>
  <c r="B710" i="1" s="1"/>
  <c r="N443" i="1"/>
  <c r="H636" i="1"/>
  <c r="R628" i="1"/>
  <c r="N715" i="1"/>
  <c r="R741" i="1"/>
  <c r="R657" i="1"/>
  <c r="N690" i="1"/>
  <c r="N670" i="1"/>
  <c r="H690" i="1"/>
  <c r="H749" i="1"/>
  <c r="N617" i="1"/>
  <c r="B773" i="1"/>
  <c r="B774" i="1" s="1"/>
  <c r="B775" i="1" s="1"/>
  <c r="B776" i="1" s="1"/>
  <c r="B777" i="1" s="1"/>
  <c r="B778" i="1" s="1"/>
  <c r="B779" i="1" s="1"/>
  <c r="B780" i="1" s="1"/>
  <c r="B781" i="1" s="1"/>
  <c r="B782" i="1" s="1"/>
  <c r="B783" i="1" s="1"/>
  <c r="B784" i="1" s="1"/>
  <c r="B785" i="1" s="1"/>
  <c r="B793" i="1"/>
  <c r="R683" i="1"/>
  <c r="B749" i="1"/>
  <c r="B756" i="1"/>
  <c r="B757" i="1" s="1"/>
  <c r="B758" i="1" s="1"/>
  <c r="B759" i="1" s="1"/>
  <c r="B760" i="1" s="1"/>
  <c r="B761" i="1" s="1"/>
  <c r="H617" i="1"/>
  <c r="N766" i="1"/>
  <c r="N793" i="1"/>
  <c r="H766" i="1"/>
  <c r="H670" i="1"/>
  <c r="N749" i="1"/>
  <c r="H793" i="1"/>
  <c r="H541" i="1" l="1"/>
  <c r="N105" i="1"/>
  <c r="B804" i="1"/>
  <c r="B670" i="1"/>
  <c r="B434" i="1"/>
  <c r="B766" i="1"/>
  <c r="B715" i="1"/>
  <c r="B348" i="1"/>
  <c r="B475" i="1"/>
  <c r="B323" i="1"/>
  <c r="H475" i="1"/>
  <c r="B560" i="1"/>
  <c r="B606" i="1"/>
  <c r="B394" i="1"/>
  <c r="B636" i="1"/>
  <c r="B690" i="1"/>
  <c r="B46" i="1"/>
  <c r="H560" i="1"/>
  <c r="H177" i="1"/>
  <c r="B525" i="1"/>
  <c r="B168" i="1"/>
</calcChain>
</file>

<file path=xl/sharedStrings.xml><?xml version="1.0" encoding="utf-8"?>
<sst xmlns="http://schemas.openxmlformats.org/spreadsheetml/2006/main" count="1159" uniqueCount="1128">
  <si>
    <t>DATA FOR THE YEAR 2024</t>
  </si>
  <si>
    <t>Sr. No.</t>
  </si>
  <si>
    <t>Symbol</t>
  </si>
  <si>
    <t>Name of Company</t>
  </si>
  <si>
    <t>Year End</t>
  </si>
  <si>
    <t>Paid up Capital</t>
  </si>
  <si>
    <t>Face Value</t>
  </si>
  <si>
    <t>Number of Shares</t>
  </si>
  <si>
    <t>Shareholders' Equity</t>
  </si>
  <si>
    <t>Total Assets</t>
  </si>
  <si>
    <t>Sales / Total Income</t>
  </si>
  <si>
    <t>Financial Charges</t>
  </si>
  <si>
    <t>Profit Before Taxation</t>
  </si>
  <si>
    <t>Taxation</t>
  </si>
  <si>
    <t>Profit After Taxation</t>
  </si>
  <si>
    <t>Cash Dividend</t>
  </si>
  <si>
    <t>Stock Dividend</t>
  </si>
  <si>
    <t>Total Dividend</t>
  </si>
  <si>
    <t>Right Issue</t>
  </si>
  <si>
    <t>Number of Shareholders</t>
  </si>
  <si>
    <t>(Rs. in million)</t>
  </si>
  <si>
    <t>(In million)</t>
  </si>
  <si>
    <t>%</t>
  </si>
  <si>
    <t>CLOSE-END MUTUAL FUND</t>
  </si>
  <si>
    <t>HGFA</t>
  </si>
  <si>
    <t xml:space="preserve">HBL Growth Fund </t>
  </si>
  <si>
    <t>HIFA</t>
  </si>
  <si>
    <t>HBL Investment Fund</t>
  </si>
  <si>
    <t>TSMF</t>
  </si>
  <si>
    <t>Tri - Star Mutual Fund Limited</t>
  </si>
  <si>
    <t>INMF</t>
  </si>
  <si>
    <t>Investec Mutual Fund Limited</t>
  </si>
  <si>
    <t>PUDF</t>
  </si>
  <si>
    <t>Prudential Stocks Fund Limited</t>
  </si>
  <si>
    <t>MODARABAS</t>
  </si>
  <si>
    <t>BFMOD</t>
  </si>
  <si>
    <t>B. F.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</si>
  <si>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</si>
  <si>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</si>
  <si>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</si>
  <si>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</si>
  <si>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</si>
  <si>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</si>
  <si>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</si>
  <si>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</si>
  <si>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</si>
  <si>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</si>
  <si>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</si>
  <si>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</si>
  <si>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</si>
  <si>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</si>
  <si>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</si>
  <si>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</si>
  <si>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</si>
  <si>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</si>
  <si>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</si>
  <si>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</si>
  <si>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</si>
  <si>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</si>
  <si>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</si>
  <si>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</si>
  <si>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PMI</t>
  </si>
  <si>
    <t>First Prudential Modaraba</t>
  </si>
  <si>
    <t>PIM</t>
  </si>
  <si>
    <t>Popular Islamic Modaraba</t>
  </si>
  <si>
    <t>ORM</t>
  </si>
  <si>
    <t>Orient Rental Modaraba</t>
  </si>
  <si>
    <t>OLPM</t>
  </si>
  <si>
    <t>OLP Modaraba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</si>
  <si>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</si>
  <si>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</si>
  <si>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</si>
  <si>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</si>
  <si>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</si>
  <si>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</si>
  <si>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</si>
  <si>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</si>
  <si>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FNBM</t>
  </si>
  <si>
    <t>First National Bank Modaraba</t>
  </si>
  <si>
    <t>LEASING COMPANIES</t>
  </si>
  <si>
    <t>GRYL</t>
  </si>
  <si>
    <t>Grays Leasing Limited</t>
  </si>
  <si>
    <t>PGLC</t>
  </si>
  <si>
    <t>Pak-Gulf Leasing Company Limited</t>
  </si>
  <si>
    <t>ENGL</t>
  </si>
  <si>
    <t>English Leasing Limited</t>
  </si>
  <si>
    <t>PICL</t>
  </si>
  <si>
    <t>Pakistan Industrial &amp; Commercial Leasing Limited</t>
  </si>
  <si>
    <t>SLCL</t>
  </si>
  <si>
    <t>Security Leasing Corporation Limited</t>
  </si>
  <si>
    <t>SLL</t>
  </si>
  <si>
    <t>SME Leasing Limited</t>
  </si>
  <si>
    <t>SPLC</t>
  </si>
  <si>
    <t>Saudi Pak Leasing Company Limited</t>
  </si>
  <si>
    <t>INVESTMENT BANKS / INVESTMENT COMPANIES / SECURITIES COMPANIES</t>
  </si>
  <si>
    <t>786 Investments Limited</t>
  </si>
  <si>
    <t>AHL</t>
  </si>
  <si>
    <t>Arif Habib Limited</t>
  </si>
  <si>
    <t>AKDSL</t>
  </si>
  <si>
    <t xml:space="preserve">AKD Securities Limited </t>
  </si>
  <si>
    <t>AMBL</t>
  </si>
  <si>
    <t>Apna Microfinance Bank Limited</t>
  </si>
  <si>
    <t>CYAN</t>
  </si>
  <si>
    <t>Cyan Limited</t>
  </si>
  <si>
    <t>CASH</t>
  </si>
  <si>
    <t xml:space="preserve">CALCORP Limited </t>
  </si>
  <si>
    <t>DEL</t>
  </si>
  <si>
    <t>Dawood Equities Limited</t>
  </si>
  <si>
    <t>DAWH</t>
  </si>
  <si>
    <r>
      <t xml:space="preserve">Engro Holdings Limited </t>
    </r>
    <r>
      <rPr>
        <i/>
        <sz val="12"/>
        <rFont val="Calibri"/>
        <family val="2"/>
        <scheme val="minor"/>
      </rPr>
      <t>(Dawood Hercules Corporation Limited)</t>
    </r>
  </si>
  <si>
    <t>DLL</t>
  </si>
  <si>
    <t>Dawood Lawrencepur Limited</t>
  </si>
  <si>
    <t>IMS</t>
  </si>
  <si>
    <r>
      <t xml:space="preserve">Intermarket Securities Limited </t>
    </r>
    <r>
      <rPr>
        <i/>
        <sz val="12"/>
        <rFont val="Calibri"/>
        <family val="2"/>
        <scheme val="minor"/>
      </rPr>
      <t>(EFG Hermes Pakistan Limited)</t>
    </r>
  </si>
  <si>
    <t>ESBL</t>
  </si>
  <si>
    <t>Escorts Investmen Bank Limited</t>
  </si>
  <si>
    <t>FCIBL</t>
  </si>
  <si>
    <t>First Credit &amp; Investment Bank Limited</t>
  </si>
  <si>
    <t>FCSC</t>
  </si>
  <si>
    <t>First Capital Securities Corporation Limited</t>
  </si>
  <si>
    <t>FDPL</t>
  </si>
  <si>
    <t>First Dawood Properties Limited (First Dawood Investment Bank)</t>
  </si>
  <si>
    <t>FNEL</t>
  </si>
  <si>
    <t>First National Equities Limited</t>
  </si>
  <si>
    <t>IML</t>
  </si>
  <si>
    <r>
      <t xml:space="preserve">Imperial Limited </t>
    </r>
    <r>
      <rPr>
        <i/>
        <sz val="12"/>
        <rFont val="Calibri"/>
        <family val="2"/>
        <scheme val="minor"/>
      </rPr>
      <t>(Imperial Sugar)</t>
    </r>
  </si>
  <si>
    <t>ICIBL</t>
  </si>
  <si>
    <t>Invest Capital Investment Bank Limited</t>
  </si>
  <si>
    <t>JSCL</t>
  </si>
  <si>
    <t>Jahangir Siddiqui &amp; Co. Limited</t>
  </si>
  <si>
    <t>JSCLPSA</t>
  </si>
  <si>
    <r>
      <t xml:space="preserve">Jahangir Siddiqui &amp; Co. Limited </t>
    </r>
    <r>
      <rPr>
        <i/>
        <sz val="12"/>
        <rFont val="Calibri"/>
        <family val="2"/>
        <scheme val="minor"/>
      </rPr>
      <t>(Preference Shares)</t>
    </r>
  </si>
  <si>
    <t>JSGCL</t>
  </si>
  <si>
    <t>JS Global Capital Limited</t>
  </si>
  <si>
    <t>JSIL</t>
  </si>
  <si>
    <t>JS Investments Limited</t>
  </si>
  <si>
    <t>LSECL</t>
  </si>
  <si>
    <t>LSE Capital Limited</t>
  </si>
  <si>
    <t>LSEFSL</t>
  </si>
  <si>
    <t>LSE Financial Services Limited</t>
  </si>
  <si>
    <t>LSEVL</t>
  </si>
  <si>
    <t>LSE Ventures Limited</t>
  </si>
  <si>
    <t>MCBIM</t>
  </si>
  <si>
    <t>MCB Investment Management Limited</t>
  </si>
  <si>
    <t>NEXT</t>
  </si>
  <si>
    <t>Next Capital Limited</t>
  </si>
  <si>
    <t>OLPL</t>
  </si>
  <si>
    <r>
      <t xml:space="preserve">OLP Financial Services Pakistan Limited  </t>
    </r>
    <r>
      <rPr>
        <i/>
        <sz val="12"/>
        <rFont val="Calibri"/>
        <family val="2"/>
        <scheme val="minor"/>
      </rPr>
      <t>(Orix Leasing Pakistan)</t>
    </r>
  </si>
  <si>
    <t>PIAHCLA</t>
  </si>
  <si>
    <t>PIA Holding Company Limited</t>
  </si>
  <si>
    <t>PSX</t>
  </si>
  <si>
    <t>Pakistan Stock Exchange Limited</t>
  </si>
  <si>
    <t>SIBL</t>
  </si>
  <si>
    <t>Security Investment Bank Limited</t>
  </si>
  <si>
    <t>TSBL</t>
  </si>
  <si>
    <t>Trust Securities &amp; Brokerage Limited</t>
  </si>
  <si>
    <t>AMSL</t>
  </si>
  <si>
    <t>Al-Mal Securities &amp; Services Limited</t>
  </si>
  <si>
    <t>FCEL</t>
  </si>
  <si>
    <t>First Capital Equities Limited</t>
  </si>
  <si>
    <t>PASL</t>
  </si>
  <si>
    <t>Pervez Ahmed Consultancy Services Limited</t>
  </si>
  <si>
    <t>PRIB</t>
  </si>
  <si>
    <t>Prudential Investment Bank Limited</t>
  </si>
  <si>
    <t>TRIBL</t>
  </si>
  <si>
    <t>Trust Investment Bank Limited</t>
  </si>
  <si>
    <t>COMMERCIAL BANKS</t>
  </si>
  <si>
    <t>ABL</t>
  </si>
  <si>
    <t>Allied Bank Limited</t>
  </si>
  <si>
    <t>AKBL</t>
  </si>
  <si>
    <t>Askari Bank Limited</t>
  </si>
  <si>
    <t>BAFL</t>
  </si>
  <si>
    <t>Bank Alfalah Limited</t>
  </si>
  <si>
    <t>BAHL</t>
  </si>
  <si>
    <t>Bank AL Habib  Limited</t>
  </si>
  <si>
    <t>BIPL</t>
  </si>
  <si>
    <t>BankIslami Pakistan Limited</t>
  </si>
  <si>
    <t>BOK</t>
  </si>
  <si>
    <t>The Bank of Khyber</t>
  </si>
  <si>
    <t>BOP</t>
  </si>
  <si>
    <t>The Bank of Punjab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</si>
  <si>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</si>
  <si>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</si>
  <si>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</si>
  <si>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</si>
  <si>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</si>
  <si>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</si>
  <si>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</si>
  <si>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</si>
  <si>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</si>
  <si>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</si>
  <si>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</si>
  <si>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</si>
  <si>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</si>
  <si>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</si>
  <si>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SBL</t>
  </si>
  <si>
    <t>Samba Bank Limited</t>
  </si>
  <si>
    <t>SCBPL</t>
  </si>
  <si>
    <t>Standard Chartered Bank (Pakistan) Ltd.</t>
  </si>
  <si>
    <t>SILK</t>
  </si>
  <si>
    <t>Silkbank Limited</t>
  </si>
  <si>
    <t>BML</t>
  </si>
  <si>
    <t>Bank Makramah Limited</t>
  </si>
  <si>
    <t>SNBL</t>
  </si>
  <si>
    <t>Soneri Bank Limited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</si>
  <si>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</si>
  <si>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</si>
  <si>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</si>
  <si>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</si>
  <si>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</si>
  <si>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</si>
  <si>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</si>
  <si>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ALAC</t>
  </si>
  <si>
    <t>Askari Life Assurance Company Limited</t>
  </si>
  <si>
    <t>ALIFE</t>
  </si>
  <si>
    <t>Adamjee Life Assurance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</si>
  <si>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</si>
  <si>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</si>
  <si>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</si>
  <si>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</si>
  <si>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</si>
  <si>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</si>
  <si>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</si>
  <si>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Company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</si>
  <si>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</si>
  <si>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</si>
  <si>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</si>
  <si>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</si>
  <si>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</si>
  <si>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</si>
  <si>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HICL</t>
  </si>
  <si>
    <t>Habib Insurance Company Limited</t>
  </si>
  <si>
    <t>IGIHL</t>
  </si>
  <si>
    <t>IGI Holdings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</si>
  <si>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</si>
  <si>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</si>
  <si>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</si>
  <si>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</si>
  <si>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</si>
  <si>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</si>
  <si>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</si>
  <si>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</si>
  <si>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PINL</t>
  </si>
  <si>
    <t>Premier Insurance Limited</t>
  </si>
  <si>
    <t>PKGI</t>
  </si>
  <si>
    <t>The Pakistan General Insurance Company Limited</t>
  </si>
  <si>
    <t>RICL</t>
  </si>
  <si>
    <t>Reliance Insurance Company Limited</t>
  </si>
  <si>
    <t>SHNI</t>
  </si>
  <si>
    <t>Shaheen Insurance Company Limited</t>
  </si>
  <si>
    <t>TPLI</t>
  </si>
  <si>
    <t>TPL Insurance Limited</t>
  </si>
  <si>
    <t>UNIC</t>
  </si>
  <si>
    <t>The United Insurance Company of Pakistan Limited</t>
  </si>
  <si>
    <t>UVIC</t>
  </si>
  <si>
    <t>The Universal Insurance Company Limited</t>
  </si>
  <si>
    <t>BIIC</t>
  </si>
  <si>
    <t>Business &amp; Industrial Insurance Company Limited</t>
  </si>
  <si>
    <t>PIL</t>
  </si>
  <si>
    <t>PICIC Insurance Limited</t>
  </si>
  <si>
    <t>PRIC</t>
  </si>
  <si>
    <t>Progressive Insurance Company Limited</t>
  </si>
  <si>
    <t>SICL</t>
  </si>
  <si>
    <t>Standard Insurance Company Limited</t>
  </si>
  <si>
    <t>SSIC</t>
  </si>
  <si>
    <t>Silver Star Insurance Company Limited</t>
  </si>
  <si>
    <t>REAL ESTATE INVESTMENT TRUST</t>
  </si>
  <si>
    <t>DCR</t>
  </si>
  <si>
    <t>Dolmen City REIT</t>
  </si>
  <si>
    <t>GRR</t>
  </si>
  <si>
    <t>Globe Residency REIT</t>
  </si>
  <si>
    <t>TPLRF1</t>
  </si>
  <si>
    <t>TPL REIT Fund - I</t>
  </si>
  <si>
    <t>TEXTILE SPINNING</t>
  </si>
  <si>
    <t>AATM</t>
  </si>
  <si>
    <t>Ali Asghar Textile Mills Limited</t>
  </si>
  <si>
    <t>ARCTM</t>
  </si>
  <si>
    <t xml:space="preserve">Arctic Textile Mills Limited </t>
  </si>
  <si>
    <t>ASTM</t>
  </si>
  <si>
    <t>Asim Textile Mills Limited</t>
  </si>
  <si>
    <t>AWTX</t>
  </si>
  <si>
    <t>Allawasaya Textile &amp; Finishing Mills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</si>
  <si>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</si>
  <si>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</si>
  <si>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</si>
  <si>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</si>
  <si>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</si>
  <si>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</si>
  <si>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DFSM</t>
  </si>
  <si>
    <t>Dewan Farooque Spinning Mills Limited</t>
  </si>
  <si>
    <t>DINT</t>
  </si>
  <si>
    <t>Din Textile Mills Limited</t>
  </si>
  <si>
    <t>DSIL</t>
  </si>
  <si>
    <t>D. S. Industries Limited</t>
  </si>
  <si>
    <t>TPLL</t>
  </si>
  <si>
    <r>
      <rPr>
        <sz val="12"/>
        <rFont val="Calibri"/>
        <family val="2"/>
        <scheme val="minor"/>
      </rPr>
      <t xml:space="preserve">TPL Life Insurance Limited  </t>
    </r>
    <r>
      <rPr>
        <i/>
        <sz val="12"/>
        <rFont val="Calibri"/>
        <family val="2"/>
        <scheme val="minor"/>
      </rPr>
      <t>(Dar Es Salaam Textile Mills Limited)</t>
    </r>
  </si>
  <si>
    <t>ELCM</t>
  </si>
  <si>
    <t>Elahi Cotton Mills Limited</t>
  </si>
  <si>
    <t>ELSM</t>
  </si>
  <si>
    <t>Ellcot Spinning Mills Limited</t>
  </si>
  <si>
    <t>GADT</t>
  </si>
  <si>
    <t>Gadoon Textile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</si>
  <si>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</si>
  <si>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</si>
  <si>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</si>
  <si>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</si>
  <si>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</si>
  <si>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</si>
  <si>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</si>
  <si>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</si>
  <si>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</si>
  <si>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</si>
  <si>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</si>
  <si>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</si>
  <si>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</si>
  <si>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</si>
  <si>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</si>
  <si>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</si>
  <si>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</si>
  <si>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</si>
  <si>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</si>
  <si>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</si>
  <si>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</si>
  <si>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</si>
  <si>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OML</t>
  </si>
  <si>
    <t>Olympia Mills Limited</t>
  </si>
  <si>
    <t>PRET</t>
  </si>
  <si>
    <t>Premium Textile Mills Limited</t>
  </si>
  <si>
    <t>RCML</t>
  </si>
  <si>
    <t>Reliance Cotton Spinning Mills Limited</t>
  </si>
  <si>
    <t>SAIF</t>
  </si>
  <si>
    <t>Saif Textile Mills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</si>
  <si>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</si>
  <si>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</si>
  <si>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</si>
  <si>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</si>
  <si>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</si>
  <si>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</si>
  <si>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SNAI</t>
  </si>
  <si>
    <t>Sana Industries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</si>
  <si>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</si>
  <si>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</si>
  <si>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</si>
  <si>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</si>
  <si>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</si>
  <si>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</si>
  <si>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AAL</t>
  </si>
  <si>
    <t>Agro Allianz Limited (Karim Cotton)</t>
  </si>
  <si>
    <t>AMTEX</t>
  </si>
  <si>
    <t>Amtex Limited</t>
  </si>
  <si>
    <t>ANNT</t>
  </si>
  <si>
    <t>Annoor Textile Mills Limited</t>
  </si>
  <si>
    <t>APOT</t>
  </si>
  <si>
    <t>Apollo Textile Mills Limited</t>
  </si>
  <si>
    <t>AZMT</t>
  </si>
  <si>
    <t>Azmat Textile Mills Limited</t>
  </si>
  <si>
    <t>BILF</t>
  </si>
  <si>
    <t>Bilal Fibres Limited</t>
  </si>
  <si>
    <t>CWSM</t>
  </si>
  <si>
    <t>Chakwal Spinning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</si>
  <si>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</si>
  <si>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</si>
  <si>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</si>
  <si>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</si>
  <si>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</si>
  <si>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</si>
  <si>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DWTM</t>
  </si>
  <si>
    <t>Dewan Textile Mills Limited</t>
  </si>
  <si>
    <t>FAEL</t>
  </si>
  <si>
    <t>Fatima Enterprises Limited</t>
  </si>
  <si>
    <t>GLOT</t>
  </si>
  <si>
    <t>Globe Textile Mills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</si>
  <si>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</si>
  <si>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</si>
  <si>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</si>
  <si>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</si>
  <si>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</si>
  <si>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</si>
  <si>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</si>
  <si>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</si>
  <si>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HIRAT</t>
  </si>
  <si>
    <t>Hira Textile Mills Limited</t>
  </si>
  <si>
    <t>HMIM</t>
  </si>
  <si>
    <t>Haji Mohammad Ismail Mills Limited</t>
  </si>
  <si>
    <t>KSTM</t>
  </si>
  <si>
    <t>Khalid Siraj Textile Mills Limited</t>
  </si>
  <si>
    <t>NCML</t>
  </si>
  <si>
    <t>Nazir Cotton Mills Limited</t>
  </si>
  <si>
    <t>LIVEN</t>
  </si>
  <si>
    <r>
      <t xml:space="preserve">Liven Pharma Limited </t>
    </r>
    <r>
      <rPr>
        <i/>
        <sz val="12"/>
        <rFont val="Calibri"/>
        <family val="2"/>
        <scheme val="minor"/>
      </rPr>
      <t>(Landmark Spinning Industries Limited)</t>
    </r>
  </si>
  <si>
    <t>RUBY</t>
  </si>
  <si>
    <t>Ruby Textile Mills Limited</t>
  </si>
  <si>
    <t>SANE</t>
  </si>
  <si>
    <t>Salman Noman Enterprises Limited</t>
  </si>
  <si>
    <t>SLYT</t>
  </si>
  <si>
    <t>Sally Textile Mills Limited</t>
  </si>
  <si>
    <t>SSML</t>
  </si>
  <si>
    <t>Saritow Spinning Mills Limited</t>
  </si>
  <si>
    <t>TEXTILE WEAVING</t>
  </si>
  <si>
    <t>ASHT</t>
  </si>
  <si>
    <t>Ashfaq Textile Mills Limited</t>
  </si>
  <si>
    <t>ICCI</t>
  </si>
  <si>
    <t>ICC Industries Limited</t>
  </si>
  <si>
    <t>PRWM</t>
  </si>
  <si>
    <t>Prosperity Weaving Mills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</si>
  <si>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</si>
  <si>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</si>
  <si>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</si>
  <si>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</si>
  <si>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</si>
  <si>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</si>
  <si>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HKKT</t>
  </si>
  <si>
    <t>Hakkim Textile Mills Limited</t>
  </si>
  <si>
    <t>MOHE</t>
  </si>
  <si>
    <t>Mohib Exports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</si>
  <si>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</si>
  <si>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</si>
  <si>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</si>
  <si>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</si>
  <si>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</si>
  <si>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</si>
  <si>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</si>
  <si>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</si>
  <si>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</si>
  <si>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ANTM</t>
  </si>
  <si>
    <t>AN Textile Mills Limited</t>
  </si>
  <si>
    <t>BHAT</t>
  </si>
  <si>
    <t>Bhanero Textile Mills Limited</t>
  </si>
  <si>
    <t>BTL</t>
  </si>
  <si>
    <t>Blessed Textiles Limited</t>
  </si>
  <si>
    <t>CHBL</t>
  </si>
  <si>
    <t>Chenab Limited</t>
  </si>
  <si>
    <t>CRTM</t>
  </si>
  <si>
    <t>The Crescent Textile Mills Limited</t>
  </si>
  <si>
    <t>FASM</t>
  </si>
  <si>
    <t>Faisal Spinning Mills Limited</t>
  </si>
  <si>
    <t>FML</t>
  </si>
  <si>
    <t xml:space="preserve">Feroze1888 Mills Limited </t>
  </si>
  <si>
    <t>FZCM</t>
  </si>
  <si>
    <t>Fazal Cloth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</si>
  <si>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</si>
  <si>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</si>
  <si>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</si>
  <si>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</si>
  <si>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</si>
  <si>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</si>
  <si>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</si>
  <si>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</si>
  <si>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ILP</t>
  </si>
  <si>
    <t>Interloop Limited</t>
  </si>
  <si>
    <t>INKL</t>
  </si>
  <si>
    <t>International Knitwear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</si>
  <si>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</si>
  <si>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</si>
  <si>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</si>
  <si>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</si>
  <si>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</si>
  <si>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</si>
  <si>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</si>
  <si>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</si>
  <si>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</si>
  <si>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</si>
  <si>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MSOT</t>
  </si>
  <si>
    <t>Masood Textile Mills Limited</t>
  </si>
  <si>
    <t>NCL</t>
  </si>
  <si>
    <t>Nishat (Chunian) Limited</t>
  </si>
  <si>
    <t>NML</t>
  </si>
  <si>
    <t>Nishat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</si>
  <si>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</si>
  <si>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</si>
  <si>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</si>
  <si>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</si>
  <si>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</si>
  <si>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</si>
  <si>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SFL</t>
  </si>
  <si>
    <t>Sapphire Fibres Limited</t>
  </si>
  <si>
    <t>STML</t>
  </si>
  <si>
    <t>Shams Textile Mills Limited</t>
  </si>
  <si>
    <t>STYLERS</t>
  </si>
  <si>
    <t>Stylers International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</si>
  <si>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</si>
  <si>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</si>
  <si>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</si>
  <si>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</si>
  <si>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</si>
  <si>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</si>
  <si>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ARUJ</t>
  </si>
  <si>
    <t>Aruj Industries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</si>
  <si>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</si>
  <si>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</si>
  <si>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</si>
  <si>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</si>
  <si>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</si>
  <si>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</si>
  <si>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JUBS</t>
  </si>
  <si>
    <t>Jubilee Spinning &amp; Weaving Mills Limited</t>
  </si>
  <si>
    <t>KAKL</t>
  </si>
  <si>
    <t>Kaiser Arts &amp; Krafts Limited</t>
  </si>
  <si>
    <t>MFTM</t>
  </si>
  <si>
    <t>Mohammed Farooq Textile Mills Limited</t>
  </si>
  <si>
    <t>MUBT</t>
  </si>
  <si>
    <t>Mubarak Textile Mills Limited</t>
  </si>
  <si>
    <t>NINA</t>
  </si>
  <si>
    <t>Nina Industries Limited</t>
  </si>
  <si>
    <t>PASM</t>
  </si>
  <si>
    <t>Paramount Spinning Mills Limited</t>
  </si>
  <si>
    <t>QUET</t>
  </si>
  <si>
    <t>Quetta Textile Mills Limited</t>
  </si>
  <si>
    <t>SCHT</t>
  </si>
  <si>
    <t>Schon Textiles Limited</t>
  </si>
  <si>
    <t>SFAT</t>
  </si>
  <si>
    <t>Safa Textiles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</si>
  <si>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</si>
  <si>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</si>
  <si>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</si>
  <si>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</si>
  <si>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</si>
  <si>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</si>
  <si>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</si>
  <si>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</si>
  <si>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</si>
  <si>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SYNTHETIC &amp; RAYON</t>
  </si>
  <si>
    <t>GATI</t>
  </si>
  <si>
    <t>Gatron (Industries) Limited</t>
  </si>
  <si>
    <t>IBFL</t>
  </si>
  <si>
    <t>Ibrahim Fibres Limited</t>
  </si>
  <si>
    <t>IMAGE</t>
  </si>
  <si>
    <t>Image Pakistan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</si>
  <si>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</si>
  <si>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</si>
  <si>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</si>
  <si>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</si>
  <si>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</si>
  <si>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</si>
  <si>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AASM</t>
  </si>
  <si>
    <t>Al- Abid Silk Mills Limited</t>
  </si>
  <si>
    <t>DSFL</t>
  </si>
  <si>
    <t>Dewan Salman Fibre Limited</t>
  </si>
  <si>
    <t>NAFL</t>
  </si>
  <si>
    <t>National Fibres Limited</t>
  </si>
  <si>
    <t>SGABL</t>
  </si>
  <si>
    <t xml:space="preserve">SG Allied Business Limited </t>
  </si>
  <si>
    <t>JUTE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</si>
  <si>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</si>
  <si>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</si>
  <si>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</si>
  <si>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</si>
  <si>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</si>
  <si>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</si>
  <si>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</si>
  <si>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</si>
  <si>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</si>
  <si>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</si>
  <si>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</si>
  <si>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</si>
  <si>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</si>
  <si>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BAFS</t>
  </si>
  <si>
    <t>Baba Farid Sugar Mills Limited</t>
  </si>
  <si>
    <t>CHAS</t>
  </si>
  <si>
    <t>Chashma Sugar Mills Limited</t>
  </si>
  <si>
    <t>FRSM</t>
  </si>
  <si>
    <t>Faran Sugar Mills Limited</t>
  </si>
  <si>
    <t>HABSM</t>
  </si>
  <si>
    <t>Habib Sugar Mills Limited</t>
  </si>
  <si>
    <t>HRPL</t>
  </si>
  <si>
    <t>Habib Rice Products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</si>
  <si>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</si>
  <si>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</si>
  <si>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</si>
  <si>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</si>
  <si>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</si>
  <si>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</si>
  <si>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</si>
  <si>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</si>
  <si>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</si>
  <si>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</si>
  <si>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</si>
  <si>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</si>
  <si>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</si>
  <si>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</si>
  <si>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</si>
  <si>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</si>
  <si>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</si>
  <si>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</si>
  <si>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SHJS</t>
  </si>
  <si>
    <t>Shahtaj Sugar Mills Limited</t>
  </si>
  <si>
    <t>SHSML</t>
  </si>
  <si>
    <t>Shahmurad Sugar Mills Limited</t>
  </si>
  <si>
    <t>TCORP</t>
  </si>
  <si>
    <r>
      <t xml:space="preserve">Tariq Corporation Limited  </t>
    </r>
    <r>
      <rPr>
        <i/>
        <sz val="12"/>
        <rFont val="Calibri"/>
        <family val="2"/>
        <scheme val="minor"/>
      </rPr>
      <t>(Husein Sugar Mills Limited)</t>
    </r>
  </si>
  <si>
    <t>TCORPCPS</t>
  </si>
  <si>
    <t>Tariq Corporation Limited  (Preference Shares)</t>
  </si>
  <si>
    <t>TICL</t>
  </si>
  <si>
    <t>The Thal Industries Corporation Limited</t>
  </si>
  <si>
    <t>TSML</t>
  </si>
  <si>
    <t>Tandlianwala Sugar Mills Limited</t>
  </si>
  <si>
    <t>ANSM</t>
  </si>
  <si>
    <t>Ansari Sugar Mills Limited</t>
  </si>
  <si>
    <t>DWSM</t>
  </si>
  <si>
    <t>Dewan Sugar Mills Limited</t>
  </si>
  <si>
    <t>HWQS</t>
  </si>
  <si>
    <t>Haseeb Waqas Sugar Mills Limited</t>
  </si>
  <si>
    <t>SKRS</t>
  </si>
  <si>
    <t>Sakrand Sugar Mills Limited</t>
  </si>
  <si>
    <t>SML</t>
  </si>
  <si>
    <t>Shakarganj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</si>
  <si>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</si>
  <si>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</si>
  <si>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</si>
  <si>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</si>
  <si>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</si>
  <si>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</si>
  <si>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</si>
  <si>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</si>
  <si>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</si>
  <si>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</si>
  <si>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</si>
  <si>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</si>
  <si>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</si>
  <si>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</si>
  <si>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</si>
  <si>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</si>
  <si>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</si>
  <si>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</si>
  <si>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</si>
  <si>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</si>
  <si>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</si>
  <si>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KOHC</t>
  </si>
  <si>
    <t>Kohat Cement Company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</si>
  <si>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</si>
  <si>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</si>
  <si>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</si>
  <si>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</si>
  <si>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</si>
  <si>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</si>
  <si>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</si>
  <si>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</si>
  <si>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POWERPS</t>
  </si>
  <si>
    <t>Power Cement Limited  (Preference Shares)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</si>
  <si>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</si>
  <si>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</si>
  <si>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</si>
  <si>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</si>
  <si>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</si>
  <si>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</si>
  <si>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</si>
  <si>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</si>
  <si>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PROPERTY</t>
  </si>
  <si>
    <t>BRRG</t>
  </si>
  <si>
    <t>B.R.R. Guardian Limited</t>
  </si>
  <si>
    <t>HUSI</t>
  </si>
  <si>
    <t>Husein Industries Limited</t>
  </si>
  <si>
    <t>JVDC</t>
  </si>
  <si>
    <t>Javedan Corporation Limited</t>
  </si>
  <si>
    <t>PACE</t>
  </si>
  <si>
    <t>Pace (Pakistan) Limited</t>
  </si>
  <si>
    <t>TPLP</t>
  </si>
  <si>
    <t>TPL Properties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</si>
  <si>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</si>
  <si>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</si>
  <si>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</si>
  <si>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</si>
  <si>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</si>
  <si>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</si>
  <si>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</si>
  <si>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</si>
  <si>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</si>
  <si>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</si>
  <si>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CNERGY</t>
  </si>
  <si>
    <r>
      <t xml:space="preserve">Cnergyico PK Limited  </t>
    </r>
    <r>
      <rPr>
        <i/>
        <sz val="12"/>
        <rFont val="Calibri"/>
        <family val="2"/>
        <scheme val="minor"/>
      </rPr>
      <t>(Byco Petroleum Limited)</t>
    </r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</si>
  <si>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</si>
  <si>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</si>
  <si>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</si>
  <si>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</si>
  <si>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</si>
  <si>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</si>
  <si>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</si>
  <si>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</si>
  <si>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</si>
  <si>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</si>
  <si>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</si>
  <si>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</si>
  <si>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</si>
  <si>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</si>
  <si>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</si>
  <si>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</si>
  <si>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</si>
  <si>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</si>
  <si>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</si>
  <si>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</si>
  <si>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</si>
  <si>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</si>
  <si>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</si>
  <si>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</si>
  <si>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</si>
  <si>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</si>
  <si>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</si>
  <si>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</si>
  <si>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</si>
  <si>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SGPL</t>
  </si>
  <si>
    <t>S. G. Power Limited</t>
  </si>
  <si>
    <t>SPWL</t>
  </si>
  <si>
    <t>Saif Power Limited</t>
  </si>
  <si>
    <t>TSPL</t>
  </si>
  <si>
    <t>Tri - Star Power Limited</t>
  </si>
  <si>
    <t>OIL &amp; GAS MARKETING COMPANIES</t>
  </si>
  <si>
    <t>APL</t>
  </si>
  <si>
    <t>Attock Petroleum Limited</t>
  </si>
  <si>
    <t>BPL</t>
  </si>
  <si>
    <t>Burshane LPG (Pakistan) Limited</t>
  </si>
  <si>
    <t>HTL</t>
  </si>
  <si>
    <t>Hi-Tech Lubricants Limited</t>
  </si>
  <si>
    <t>OBOY</t>
  </si>
  <si>
    <r>
      <t xml:space="preserve">Oilboy Energy Limited  </t>
    </r>
    <r>
      <rPr>
        <i/>
        <sz val="12"/>
        <rFont val="Calibri"/>
        <family val="2"/>
        <scheme val="minor"/>
      </rPr>
      <t>(Drekkar Kingsway Limited)</t>
    </r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</si>
  <si>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</si>
  <si>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</si>
  <si>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</si>
  <si>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</si>
  <si>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</si>
  <si>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</si>
  <si>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</si>
  <si>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</si>
  <si>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HASCOL</t>
  </si>
  <si>
    <t>Hascol Petroleum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</si>
  <si>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</si>
  <si>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</si>
  <si>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</si>
  <si>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</si>
  <si>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</si>
  <si>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</si>
  <si>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</si>
  <si>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</si>
  <si>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</si>
  <si>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</si>
  <si>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AGHA</t>
  </si>
  <si>
    <t>Agha Steel Industries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</si>
  <si>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</si>
  <si>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</si>
  <si>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</si>
  <si>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</si>
  <si>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</si>
  <si>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</si>
  <si>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</si>
  <si>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</si>
  <si>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</si>
  <si>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</si>
  <si>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INIL</t>
  </si>
  <si>
    <t>International Industries Limited</t>
  </si>
  <si>
    <t>ISL</t>
  </si>
  <si>
    <t>International Steels Limited</t>
  </si>
  <si>
    <t>ITTEFAQ</t>
  </si>
  <si>
    <t>Ittefaq Iron Industries Limitd</t>
  </si>
  <si>
    <t>KSBP</t>
  </si>
  <si>
    <t>KSB Pumps Company Limited</t>
  </si>
  <si>
    <t>MSCL</t>
  </si>
  <si>
    <t>Metropolitan Steel Corporation Limited</t>
  </si>
  <si>
    <t>MUGHAL</t>
  </si>
  <si>
    <t>Mughal Iron &amp; Steel Industries Limited</t>
  </si>
  <si>
    <t>BECO</t>
  </si>
  <si>
    <t>Beco Steel Limited</t>
  </si>
  <si>
    <t>DSL</t>
  </si>
  <si>
    <t>Dost Steels Limited</t>
  </si>
  <si>
    <t>HSPI</t>
  </si>
  <si>
    <t>Huffaz Seamless Pipe Industries Limited</t>
  </si>
  <si>
    <t>PECO</t>
  </si>
  <si>
    <t>Pakistan Engineering Company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</si>
  <si>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</si>
  <si>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</si>
  <si>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</si>
  <si>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</si>
  <si>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</si>
  <si>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</si>
  <si>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</si>
  <si>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GHNI</t>
  </si>
  <si>
    <t>Ghandhara Industries Limited</t>
  </si>
  <si>
    <t>GAL</t>
  </si>
  <si>
    <r>
      <t xml:space="preserve">Ghandhara Automobiles Limited  </t>
    </r>
    <r>
      <rPr>
        <i/>
        <sz val="12"/>
        <rFont val="Calibri"/>
        <family val="2"/>
        <scheme val="minor"/>
      </rPr>
      <t>(Ghandhara Nissan Limited)</t>
    </r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</si>
  <si>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</si>
  <si>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</si>
  <si>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</si>
  <si>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</si>
  <si>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</si>
  <si>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</si>
  <si>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</si>
  <si>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</si>
  <si>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</si>
  <si>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</si>
  <si>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</si>
  <si>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</si>
  <si>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</si>
  <si>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</si>
  <si>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</si>
  <si>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</si>
  <si>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</si>
  <si>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</si>
  <si>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</si>
  <si>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</si>
  <si>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Ghandhara Tyre &amp; Rubber Company Limited</t>
  </si>
  <si>
    <t>LOADS</t>
  </si>
  <si>
    <t>Loads Limited</t>
  </si>
  <si>
    <t>PTL</t>
  </si>
  <si>
    <t>Panther Tyres Limited</t>
  </si>
  <si>
    <t>TBL</t>
  </si>
  <si>
    <t>Treet Battery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</si>
  <si>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</si>
  <si>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</si>
  <si>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</si>
  <si>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</si>
  <si>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</si>
  <si>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</si>
  <si>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CABLE &amp; ELECTRICAL GOODS</t>
  </si>
  <si>
    <t>EMCO</t>
  </si>
  <si>
    <t>Emco Industries Limited</t>
  </si>
  <si>
    <t>FCL</t>
  </si>
  <si>
    <t>Fast Cables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</si>
  <si>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</si>
  <si>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</si>
  <si>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</si>
  <si>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</si>
  <si>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</si>
  <si>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</si>
  <si>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WAVES</t>
  </si>
  <si>
    <t xml:space="preserve">Waves Corporation Limited </t>
  </si>
  <si>
    <t>WAVESAPP</t>
  </si>
  <si>
    <t xml:space="preserve">Waves Home Appliances Limited </t>
  </si>
  <si>
    <t>TRANSPORT</t>
  </si>
  <si>
    <t>CLVL</t>
  </si>
  <si>
    <t>Cordoba Logistics &amp; Ventures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</si>
  <si>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</si>
  <si>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</si>
  <si>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</si>
  <si>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</si>
  <si>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</si>
  <si>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</si>
  <si>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SLGL</t>
  </si>
  <si>
    <t>Secure Logistics Group Limited</t>
  </si>
  <si>
    <t>TECHNOLOGY &amp; COMMUNICATION</t>
  </si>
  <si>
    <t>AVN</t>
  </si>
  <si>
    <t>Avanceon Limited</t>
  </si>
  <si>
    <t>AIRLINK</t>
  </si>
  <si>
    <t>Air Link Communication Limited</t>
  </si>
  <si>
    <t>HCL</t>
  </si>
  <si>
    <t>Hallmark Company Limited</t>
  </si>
  <si>
    <t>HUMNL</t>
  </si>
  <si>
    <t>Hum Network Limited</t>
  </si>
  <si>
    <t>MDTL</t>
  </si>
  <si>
    <t>Media Times Limited</t>
  </si>
  <si>
    <t>NETSOL</t>
  </si>
  <si>
    <t>NetSol Technologies Limited</t>
  </si>
  <si>
    <t>OCTOPUS</t>
  </si>
  <si>
    <t>Octopus Digital Limited</t>
  </si>
  <si>
    <t>PAKD</t>
  </si>
  <si>
    <t>Pak Datacom Limited</t>
  </si>
  <si>
    <t>PTC</t>
  </si>
  <si>
    <t>Pakistan Telecommunication Company Ltd.</t>
  </si>
  <si>
    <t>SYM</t>
  </si>
  <si>
    <t>Symmetry Group Limited</t>
  </si>
  <si>
    <t>SYS</t>
  </si>
  <si>
    <t>Systems Limited</t>
  </si>
  <si>
    <t>TPLT</t>
  </si>
  <si>
    <t>TPL Trakker Limited</t>
  </si>
  <si>
    <t>TELE</t>
  </si>
  <si>
    <t>Telecard Limited</t>
  </si>
  <si>
    <t>TPL</t>
  </si>
  <si>
    <t>TPL Corp.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</si>
  <si>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</si>
  <si>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</si>
  <si>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</si>
  <si>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</si>
  <si>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</si>
  <si>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</si>
  <si>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</si>
  <si>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EFERT</t>
  </si>
  <si>
    <t>Engro Fertilizers Limited</t>
  </si>
  <si>
    <t>ENGRO</t>
  </si>
  <si>
    <t>Engro Corporation Limited (Delisted w.e.f. 14-Jan-2025)</t>
  </si>
  <si>
    <t>FATIMA</t>
  </si>
  <si>
    <t>Fatima Fertilizer Company Limited</t>
  </si>
  <si>
    <t>FFC</t>
  </si>
  <si>
    <t>Fauji Fertilizer Company Limited</t>
  </si>
  <si>
    <t>PHARMACEUTICALS</t>
  </si>
  <si>
    <t>ABOT</t>
  </si>
  <si>
    <t>Abbott Laboratories (Pakistan) Limited</t>
  </si>
  <si>
    <t>AGP</t>
  </si>
  <si>
    <t>AGP Limited</t>
  </si>
  <si>
    <t>BFBIO</t>
  </si>
  <si>
    <t>BF Biosciences Limited</t>
  </si>
  <si>
    <t>CPHL</t>
  </si>
  <si>
    <t>Citi Pharma Limited</t>
  </si>
  <si>
    <t>FEROZ</t>
  </si>
  <si>
    <t>Ferozsons Laboratories Limited</t>
  </si>
  <si>
    <t>GLAXO</t>
  </si>
  <si>
    <t>GlaxoSmithKline Pakistan Limited</t>
  </si>
  <si>
    <t>HALEON</t>
  </si>
  <si>
    <r>
      <t xml:space="preserve">Haleon Pakistan Limited </t>
    </r>
    <r>
      <rPr>
        <i/>
        <sz val="12"/>
        <rFont val="Calibri"/>
        <family val="2"/>
        <scheme val="minor"/>
      </rPr>
      <t>(GlaxoSmithKline Consumer HealthCare)</t>
    </r>
  </si>
  <si>
    <t>HINOON</t>
  </si>
  <si>
    <t>Highnoon Laboratories Limited</t>
  </si>
  <si>
    <t>IBLHL</t>
  </si>
  <si>
    <t>IBL Healthcare Limited</t>
  </si>
  <si>
    <t>MACTER</t>
  </si>
  <si>
    <t>Macter International Limited</t>
  </si>
  <si>
    <t>OTSU</t>
  </si>
  <si>
    <t>Otsuka Pakistan Limited</t>
  </si>
  <si>
    <t>HPL</t>
  </si>
  <si>
    <r>
      <t xml:space="preserve">Hoechst Pakistan Limited </t>
    </r>
    <r>
      <rPr>
        <i/>
        <sz val="12"/>
        <rFont val="Calibri"/>
        <family val="2"/>
        <scheme val="minor"/>
      </rPr>
      <t>(Sanofi-Aventis Pakistan Limited)</t>
    </r>
  </si>
  <si>
    <t>SEARL</t>
  </si>
  <si>
    <t>The Searle Company Limited</t>
  </si>
  <si>
    <t>CHEMICAL</t>
  </si>
  <si>
    <t>AGL</t>
  </si>
  <si>
    <t>Agritech Limited</t>
  </si>
  <si>
    <t>ARPL</t>
  </si>
  <si>
    <t>Archroma Pakistan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</si>
  <si>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</si>
  <si>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</si>
  <si>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</si>
  <si>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</si>
  <si>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</si>
  <si>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</si>
  <si>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DAAG</t>
  </si>
  <si>
    <t>Data Agro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</si>
  <si>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</si>
  <si>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</si>
  <si>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</si>
  <si>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</si>
  <si>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</si>
  <si>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</si>
  <si>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EPCLPS</t>
  </si>
  <si>
    <r>
      <t>Engro Polymer &amp; Chemicals Limited</t>
    </r>
    <r>
      <rPr>
        <i/>
        <sz val="12"/>
        <rFont val="Calibri"/>
        <family val="2"/>
        <scheme val="minor"/>
      </rPr>
      <t xml:space="preserve"> (Preference Shares)</t>
    </r>
  </si>
  <si>
    <t>GCIL</t>
  </si>
  <si>
    <t>Ghani Chemical Industries Limited</t>
  </si>
  <si>
    <t>GGL</t>
  </si>
  <si>
    <t xml:space="preserve">Ghani Global Holdings Limited </t>
  </si>
  <si>
    <t>LCI</t>
  </si>
  <si>
    <r>
      <t xml:space="preserve">Lucky Core Industries Limited </t>
    </r>
    <r>
      <rPr>
        <i/>
        <sz val="12"/>
        <rFont val="Calibri"/>
        <family val="2"/>
        <scheme val="minor"/>
      </rPr>
      <t>(ICI Pakistan Limited)</t>
    </r>
  </si>
  <si>
    <t>ICL</t>
  </si>
  <si>
    <t>Ittehad Chemicals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</si>
  <si>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</si>
  <si>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</si>
  <si>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</si>
  <si>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</si>
  <si>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</si>
  <si>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</si>
  <si>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NRSL</t>
  </si>
  <si>
    <t>Nimir Resins Limited</t>
  </si>
  <si>
    <t>PAKOXY</t>
  </si>
  <si>
    <t>Pakistan Oxygen Limited (Linde Pakistan Limited)</t>
  </si>
  <si>
    <t>SARC</t>
  </si>
  <si>
    <t>Sardar Chemical Industries Limited</t>
  </si>
  <si>
    <t>SITC</t>
  </si>
  <si>
    <t>Sitara Chemical Industries Limited</t>
  </si>
  <si>
    <t>WAHN</t>
  </si>
  <si>
    <t>Wah Noble Chemicals Limited</t>
  </si>
  <si>
    <t>BAPL</t>
  </si>
  <si>
    <t>Bawany Air Products Limited</t>
  </si>
  <si>
    <t>PPVC</t>
  </si>
  <si>
    <t>Pakistan PVC Limited</t>
  </si>
  <si>
    <t>SHCI</t>
  </si>
  <si>
    <t>Shaffi Chemical Industries Limited</t>
  </si>
  <si>
    <t>SPL</t>
  </si>
  <si>
    <t>Sitara Peroxide Limited</t>
  </si>
  <si>
    <t>PAPER, BOARD AND PACKAGING</t>
  </si>
  <si>
    <t>CEPB</t>
  </si>
  <si>
    <t>Century Paper &amp; Board Mills Limited</t>
  </si>
  <si>
    <t>CPPL</t>
  </si>
  <si>
    <t>Cherat Packaging Limited</t>
  </si>
  <si>
    <t>IPAK</t>
  </si>
  <si>
    <t>International Packaging Films Limited</t>
  </si>
  <si>
    <t>MACFL</t>
  </si>
  <si>
    <t>MACPAC Films Limited</t>
  </si>
  <si>
    <t>MERIT</t>
  </si>
  <si>
    <t>Merit Packaging Limited</t>
  </si>
  <si>
    <t>PKGS</t>
  </si>
  <si>
    <t>Packages Limited</t>
  </si>
  <si>
    <t>PPP</t>
  </si>
  <si>
    <t>Pakistan Paper Products Limited</t>
  </si>
  <si>
    <t>RPL</t>
  </si>
  <si>
    <t>Roshan Packages Limited</t>
  </si>
  <si>
    <t>SEPL</t>
  </si>
  <si>
    <t>Security Papers Limited</t>
  </si>
  <si>
    <t>SPEL</t>
  </si>
  <si>
    <t>Synthetic Products Enterprises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</si>
  <si>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</si>
  <si>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</si>
  <si>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</si>
  <si>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</si>
  <si>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</si>
  <si>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</si>
  <si>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</si>
  <si>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</si>
  <si>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</si>
  <si>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SURAJ</t>
  </si>
  <si>
    <t>Suraj Ghee Industries Limited</t>
  </si>
  <si>
    <t>LEATHER &amp; TANNERIES</t>
  </si>
  <si>
    <t>BATA</t>
  </si>
  <si>
    <t>Bata Pakistan Limited</t>
  </si>
  <si>
    <t>LEUL</t>
  </si>
  <si>
    <t>Leather Up Limited</t>
  </si>
  <si>
    <t>PAKL</t>
  </si>
  <si>
    <t>Pak Leather Crafts Limited</t>
  </si>
  <si>
    <t>SGF</t>
  </si>
  <si>
    <t>Service Global Footwear Limited</t>
  </si>
  <si>
    <t>SRVI</t>
  </si>
  <si>
    <t>Service Industries Limited</t>
  </si>
  <si>
    <t>FIL</t>
  </si>
  <si>
    <t>Fateh Industries Limited</t>
  </si>
  <si>
    <t>FOOD &amp; PERSONAL CARE PRODUCTS</t>
  </si>
  <si>
    <t>BBFL</t>
  </si>
  <si>
    <t>Big Bird Foods Limited</t>
  </si>
  <si>
    <t>BNL</t>
  </si>
  <si>
    <t>Bunny's Limited</t>
  </si>
  <si>
    <t>CLOV</t>
  </si>
  <si>
    <t>Clover Pakistan Limited</t>
  </si>
  <si>
    <t>COLG</t>
  </si>
  <si>
    <t>Colgate - Palmolive (Pakistan) Limited</t>
  </si>
  <si>
    <t>FCEPL</t>
  </si>
  <si>
    <t>Frieslandcampina Engro Pakistan Limited</t>
  </si>
  <si>
    <t>FFL</t>
  </si>
  <si>
    <t>Fauji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</si>
  <si>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</si>
  <si>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</si>
  <si>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</si>
  <si>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</si>
  <si>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</si>
  <si>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</si>
  <si>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</si>
  <si>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</si>
  <si>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MFL</t>
  </si>
  <si>
    <t>Matco Foods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</si>
  <si>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</si>
  <si>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</si>
  <si>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</si>
  <si>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</si>
  <si>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</si>
  <si>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</si>
  <si>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PREMA</t>
  </si>
  <si>
    <t>At-Tahur Limited</t>
  </si>
  <si>
    <t>QUICE</t>
  </si>
  <si>
    <t>Quice Food Industries Limited</t>
  </si>
  <si>
    <t>RMPL</t>
  </si>
  <si>
    <t>Rafhan Maize Products Co. Limited</t>
  </si>
  <si>
    <t>SCL</t>
  </si>
  <si>
    <t>Shield Corporation Limited</t>
  </si>
  <si>
    <t>SHEZ</t>
  </si>
  <si>
    <t>Shezan International Limited</t>
  </si>
  <si>
    <t>TOMCL</t>
  </si>
  <si>
    <t>The Organic Meat Company Limited</t>
  </si>
  <si>
    <t>TREET</t>
  </si>
  <si>
    <t>Treet Corporation Limited</t>
  </si>
  <si>
    <t>UPFL</t>
  </si>
  <si>
    <t>Unilever Pakistan Foods Limited</t>
  </si>
  <si>
    <t>UNITY</t>
  </si>
  <si>
    <t>Unity Foods Limited</t>
  </si>
  <si>
    <t>ZIL</t>
  </si>
  <si>
    <t>ZIL Limited</t>
  </si>
  <si>
    <t>ASC</t>
  </si>
  <si>
    <t>Al Shaheer Corporation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</si>
  <si>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</si>
  <si>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</si>
  <si>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</si>
  <si>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</si>
  <si>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</si>
  <si>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</si>
  <si>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</si>
  <si>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</si>
  <si>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</si>
  <si>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</si>
  <si>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</si>
  <si>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</si>
  <si>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</si>
  <si>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</si>
  <si>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</si>
  <si>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</si>
  <si>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</si>
  <si>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</si>
  <si>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</si>
  <si>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</si>
  <si>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</si>
  <si>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</si>
  <si>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AKDHL</t>
  </si>
  <si>
    <t xml:space="preserve">AKD Hospitality Limited 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</si>
  <si>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</si>
  <si>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</si>
  <si>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</si>
  <si>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</si>
  <si>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</si>
  <si>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</si>
  <si>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</si>
  <si>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</si>
  <si>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</si>
  <si>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</si>
  <si>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GOC</t>
  </si>
  <si>
    <t>GOC (Pak) Limited</t>
  </si>
  <si>
    <t>PABC</t>
  </si>
  <si>
    <t>Pakistan Aluminium Beverage Cans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</si>
  <si>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</si>
  <si>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</si>
  <si>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</si>
  <si>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</si>
  <si>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</si>
  <si>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</si>
  <si>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TRIPF</t>
  </si>
  <si>
    <t>Tri-Pack Films Limited</t>
  </si>
  <si>
    <t>UBDL</t>
  </si>
  <si>
    <t>United Brands Limited</t>
  </si>
  <si>
    <t>UDLI</t>
  </si>
  <si>
    <t>UDL International Limited</t>
  </si>
  <si>
    <t>UDPL</t>
  </si>
  <si>
    <t>United Distributors Pakistan Limited</t>
  </si>
  <si>
    <t>DCTL</t>
  </si>
  <si>
    <t>Dadabhoy Construction Technology Limited</t>
  </si>
  <si>
    <t>HADC</t>
  </si>
  <si>
    <t>Hayderi Construction Company Limited</t>
  </si>
  <si>
    <t>MWMP</t>
  </si>
  <si>
    <t>Mandviwalla Mauser Plastic Industries Limited</t>
  </si>
  <si>
    <t>STPL</t>
  </si>
  <si>
    <t>Siddiqsons Tin Plate Limited</t>
  </si>
  <si>
    <t>GROWTH MARKET ENTERPRISES (GEM)</t>
  </si>
  <si>
    <t>GEMBLUEX</t>
  </si>
  <si>
    <r>
      <t xml:space="preserve">Blue-Ex Limited </t>
    </r>
    <r>
      <rPr>
        <i/>
        <sz val="12"/>
        <rFont val="Calibri"/>
        <family val="2"/>
        <scheme val="minor"/>
      </rPr>
      <t>(Universal Network System Limited)</t>
    </r>
  </si>
  <si>
    <t>GEMBCEM</t>
  </si>
  <si>
    <t>Burj Clean Energy Modaraba</t>
  </si>
  <si>
    <t>GEMPAPL</t>
  </si>
  <si>
    <t>Pak Agro Packaging Limited</t>
  </si>
  <si>
    <t>GEMMEL</t>
  </si>
  <si>
    <t>Mughal Energy Limited</t>
  </si>
  <si>
    <t>GEMSPNL</t>
  </si>
  <si>
    <t>Supernet Limited</t>
  </si>
  <si>
    <t>NON-COMPLIANT 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</si>
</sst>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_);\(#,##0.000\)"/>
    <numFmt numFmtId="165" formatCode="#,##0.000_);[Red]\(#,##0.000\)"/>
    <numFmt numFmtId="166" formatCode="#,##0.0_);\(#,##0.0\)"/>
    <numFmt numFmtId="167" formatCode="#,##0.000;[Red]\-#,##0.000"/>
    <numFmt numFmtId="168" formatCode="#,##0.0000_);[Red]\(#,##0.0000\)"/>
  </numFmts>
  <fonts count="19" x14ac:knownFonts="1">
    <font>
      <sz val="10"/>
      <name val="Arial"/>
    </font>
    <font>
      <b/>
      <sz val="12"/>
      <name val="Calibri"/>
      <family val="2"/>
      <scheme val="minor"/>
    </font>
    <font>
      <b/>
      <sz val="24"/>
      <color rgb="FF3333FF"/>
      <name val="Calibri"/>
      <family val="2"/>
      <scheme val="minor"/>
    </font>
    <font>
      <sz val="12"/>
      <name val="Calibri"/>
      <family val="2"/>
      <scheme val="minor"/>
    </font>
    <font>
      <sz val="12"/>
      <color indexed="12"/>
      <name val="Calibri"/>
      <family val="2"/>
      <scheme val="minor"/>
    </font>
    <font>
      <sz val="10"/>
      <name val="Calibri"/>
      <family val="2"/>
      <scheme val="minor"/>
    </font>
    <font>
      <sz val="10"/>
      <color indexed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12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indexed="12"/>
      <name val="Calibri"/>
      <family val="2"/>
      <scheme val="minor"/>
    </font>
    <font>
      <b/>
      <sz val="14"/>
      <color indexed="18"/>
      <name val="Calibri"/>
      <family val="2"/>
      <scheme val="minor"/>
    </font>
    <font>
      <sz val="12"/>
      <color rgb="FF3333FF"/>
      <name val="Calibri"/>
      <family val="2"/>
      <scheme val="minor"/>
    </font>
    <font>
      <b/>
      <i/>
      <sz val="14"/>
      <color indexed="10"/>
      <name val="Calibri"/>
      <family val="2"/>
      <scheme val="minor"/>
    </font>
    <font>
      <sz val="10"/>
      <color rgb="FF3333FF"/>
      <name val="Calibri"/>
      <family val="2"/>
      <scheme val="minor"/>
    </font>
    <font>
      <b/>
      <sz val="12"/>
      <color rgb="FF3333FF"/>
      <name val="Calibri"/>
      <family val="2"/>
      <scheme val="minor"/>
    </font>
    <font>
      <b/>
      <sz val="10"/>
      <name val="Calibri"/>
      <family val="2"/>
      <scheme val="minor"/>
    </font>
    <font>
      <i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 vertical="center"/>
    </xf>
    <xf numFmtId="164" fontId="7" fillId="3" borderId="3" xfId="0" applyNumberFormat="1" applyFont="1" applyFill="1" applyBorder="1" applyAlignment="1">
      <alignment horizontal="center" vertical="center"/>
    </xf>
    <xf numFmtId="165" fontId="7" fillId="3" borderId="3" xfId="0" applyNumberFormat="1" applyFont="1" applyFill="1" applyBorder="1" applyAlignment="1">
      <alignment horizontal="center" vertical="center"/>
    </xf>
    <xf numFmtId="38" fontId="7" fillId="3" borderId="3" xfId="0" applyNumberFormat="1" applyFont="1" applyFill="1" applyBorder="1" applyAlignment="1">
      <alignment horizontal="center" vertical="center" wrapText="1"/>
    </xf>
    <xf numFmtId="164" fontId="8" fillId="3" borderId="3" xfId="0" applyNumberFormat="1" applyFont="1" applyFill="1" applyBorder="1" applyAlignment="1">
      <alignment horizontal="center" vertical="center" wrapText="1"/>
    </xf>
    <xf numFmtId="164" fontId="7" fillId="3" borderId="3" xfId="0" applyNumberFormat="1" applyFont="1" applyFill="1" applyBorder="1" applyAlignment="1">
      <alignment horizontal="center" vertical="center" wrapText="1"/>
    </xf>
    <xf numFmtId="164" fontId="8" fillId="3" borderId="3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6" xfId="0" applyNumberFormat="1" applyFont="1" applyFill="1" applyBorder="1" applyAlignment="1">
      <alignment horizontal="center"/>
    </xf>
    <xf numFmtId="165" fontId="7" fillId="3" borderId="6" xfId="0" applyNumberFormat="1" applyFont="1" applyFill="1" applyBorder="1" applyAlignment="1">
      <alignment horizontal="center"/>
    </xf>
    <xf numFmtId="38" fontId="7" fillId="3" borderId="6" xfId="0" applyNumberFormat="1" applyFont="1" applyFill="1" applyBorder="1" applyAlignment="1">
      <alignment horizontal="center"/>
    </xf>
    <xf numFmtId="164" fontId="8" fillId="3" borderId="6" xfId="0" applyNumberFormat="1" applyFont="1" applyFill="1" applyBorder="1" applyAlignment="1">
      <alignment horizontal="center"/>
    </xf>
    <xf numFmtId="0" fontId="9" fillId="0" borderId="0" xfId="0" applyFont="1"/>
    <xf numFmtId="164" fontId="1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0" fillId="3" borderId="8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11" fillId="3" borderId="8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2" fillId="4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15" fontId="3" fillId="0" borderId="9" xfId="0" applyNumberFormat="1" applyFont="1" applyBorder="1"/>
    <xf numFmtId="165" fontId="3" fillId="0" borderId="9" xfId="0" applyNumberFormat="1" applyFont="1" applyBorder="1"/>
    <xf numFmtId="166" fontId="3" fillId="0" borderId="9" xfId="0" applyNumberFormat="1" applyFont="1" applyBorder="1" applyAlignment="1">
      <alignment horizontal="center"/>
    </xf>
    <xf numFmtId="165" fontId="13" fillId="0" borderId="9" xfId="0" applyNumberFormat="1" applyFont="1" applyBorder="1"/>
    <xf numFmtId="40" fontId="3" fillId="0" borderId="9" xfId="0" applyNumberFormat="1" applyFont="1" applyBorder="1"/>
    <xf numFmtId="40" fontId="13" fillId="0" borderId="9" xfId="0" applyNumberFormat="1" applyFont="1" applyBorder="1"/>
    <xf numFmtId="37" fontId="3" fillId="0" borderId="9" xfId="0" applyNumberFormat="1" applyFont="1" applyBorder="1"/>
    <xf numFmtId="0" fontId="14" fillId="3" borderId="9" xfId="0" applyFont="1" applyFill="1" applyBorder="1" applyAlignment="1">
      <alignment horizontal="center"/>
    </xf>
    <xf numFmtId="166" fontId="3" fillId="0" borderId="0" xfId="0" applyNumberFormat="1" applyFont="1" applyBorder="1" applyAlignment="1">
      <alignment horizontal="center"/>
    </xf>
    <xf numFmtId="0" fontId="13" fillId="0" borderId="0" xfId="0" applyFont="1" applyBorder="1"/>
    <xf numFmtId="0" fontId="15" fillId="0" borderId="0" xfId="0" applyFont="1" applyBorder="1"/>
    <xf numFmtId="0" fontId="3" fillId="0" borderId="9" xfId="0" applyFont="1" applyFill="1" applyBorder="1"/>
    <xf numFmtId="0" fontId="1" fillId="0" borderId="9" xfId="0" applyFont="1" applyBorder="1" applyAlignment="1">
      <alignment horizontal="center"/>
    </xf>
    <xf numFmtId="165" fontId="1" fillId="0" borderId="9" xfId="0" applyNumberFormat="1" applyFont="1" applyBorder="1"/>
    <xf numFmtId="166" fontId="1" fillId="0" borderId="9" xfId="0" applyNumberFormat="1" applyFont="1" applyBorder="1" applyAlignment="1">
      <alignment horizontal="center"/>
    </xf>
    <xf numFmtId="165" fontId="16" fillId="0" borderId="10" xfId="0" applyNumberFormat="1" applyFont="1" applyBorder="1"/>
    <xf numFmtId="165" fontId="16" fillId="0" borderId="9" xfId="0" applyNumberFormat="1" applyFont="1" applyBorder="1"/>
    <xf numFmtId="40" fontId="1" fillId="0" borderId="11" xfId="0" applyNumberFormat="1" applyFont="1" applyBorder="1"/>
    <xf numFmtId="40" fontId="16" fillId="0" borderId="11" xfId="0" applyNumberFormat="1" applyFont="1" applyBorder="1"/>
    <xf numFmtId="38" fontId="1" fillId="0" borderId="9" xfId="0" applyNumberFormat="1" applyFont="1" applyBorder="1"/>
    <xf numFmtId="0" fontId="17" fillId="0" borderId="0" xfId="0" applyFont="1"/>
    <xf numFmtId="0" fontId="14" fillId="3" borderId="4" xfId="0" applyFont="1" applyFill="1" applyBorder="1" applyAlignment="1">
      <alignment horizontal="center"/>
    </xf>
    <xf numFmtId="38" fontId="3" fillId="0" borderId="9" xfId="0" applyNumberFormat="1" applyFont="1" applyBorder="1" applyAlignment="1">
      <alignment horizontal="center"/>
    </xf>
    <xf numFmtId="0" fontId="12" fillId="0" borderId="0" xfId="0" applyFont="1" applyFill="1" applyBorder="1" applyAlignment="1"/>
    <xf numFmtId="38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5" fontId="1" fillId="0" borderId="0" xfId="0" applyNumberFormat="1" applyFont="1" applyBorder="1"/>
    <xf numFmtId="165" fontId="3" fillId="0" borderId="0" xfId="0" applyNumberFormat="1" applyFont="1" applyBorder="1"/>
    <xf numFmtId="165" fontId="13" fillId="0" borderId="0" xfId="0" applyNumberFormat="1" applyFont="1" applyBorder="1"/>
    <xf numFmtId="40" fontId="3" fillId="0" borderId="0" xfId="0" applyNumberFormat="1" applyFont="1" applyBorder="1"/>
    <xf numFmtId="40" fontId="13" fillId="0" borderId="0" xfId="0" applyNumberFormat="1" applyFont="1" applyBorder="1"/>
    <xf numFmtId="37" fontId="3" fillId="0" borderId="0" xfId="0" applyNumberFormat="1" applyFont="1" applyBorder="1"/>
    <xf numFmtId="165" fontId="1" fillId="0" borderId="0" xfId="0" applyNumberFormat="1" applyFont="1" applyBorder="1"/>
    <xf numFmtId="166" fontId="1" fillId="0" borderId="0" xfId="0" applyNumberFormat="1" applyFont="1" applyBorder="1" applyAlignment="1">
      <alignment horizontal="center"/>
    </xf>
    <xf numFmtId="165" fontId="16" fillId="0" borderId="0" xfId="0" applyNumberFormat="1" applyFont="1" applyBorder="1"/>
    <xf numFmtId="40" fontId="1" fillId="0" borderId="0" xfId="0" applyNumberFormat="1" applyFont="1" applyBorder="1"/>
    <xf numFmtId="40" fontId="16" fillId="0" borderId="0" xfId="0" applyNumberFormat="1" applyFont="1" applyBorder="1"/>
    <xf numFmtId="38" fontId="1" fillId="0" borderId="0" xfId="0" applyNumberFormat="1" applyFont="1" applyBorder="1"/>
    <xf numFmtId="15" fontId="3" fillId="0" borderId="9" xfId="0" applyNumberFormat="1" applyFont="1" applyFill="1" applyBorder="1"/>
    <xf numFmtId="165" fontId="3" fillId="0" borderId="9" xfId="0" applyNumberFormat="1" applyFont="1" applyFill="1" applyBorder="1"/>
    <xf numFmtId="166" fontId="3" fillId="0" borderId="9" xfId="0" applyNumberFormat="1" applyFont="1" applyFill="1" applyBorder="1" applyAlignment="1">
      <alignment horizontal="center"/>
    </xf>
    <xf numFmtId="165" fontId="13" fillId="0" borderId="9" xfId="0" applyNumberFormat="1" applyFont="1" applyFill="1" applyBorder="1"/>
    <xf numFmtId="40" fontId="3" fillId="0" borderId="9" xfId="0" applyNumberFormat="1" applyFont="1" applyFill="1" applyBorder="1"/>
    <xf numFmtId="40" fontId="13" fillId="0" borderId="9" xfId="0" applyNumberFormat="1" applyFont="1" applyFill="1" applyBorder="1"/>
    <xf numFmtId="37" fontId="3" fillId="0" borderId="9" xfId="0" applyNumberFormat="1" applyFont="1" applyFill="1" applyBorder="1"/>
    <xf numFmtId="0" fontId="5" fillId="0" borderId="0" xfId="0" applyFont="1" applyFill="1"/>
    <xf numFmtId="167" fontId="3" fillId="0" borderId="9" xfId="0" applyNumberFormat="1" applyFont="1" applyBorder="1"/>
    <xf numFmtId="38" fontId="1" fillId="0" borderId="9" xfId="0" applyNumberFormat="1" applyFont="1" applyBorder="1" applyAlignment="1">
      <alignment horizontal="center"/>
    </xf>
    <xf numFmtId="38" fontId="3" fillId="0" borderId="0" xfId="0" applyNumberFormat="1" applyFont="1" applyBorder="1" applyAlignment="1">
      <alignment horizontal="center"/>
    </xf>
    <xf numFmtId="15" fontId="3" fillId="0" borderId="0" xfId="0" applyNumberFormat="1" applyFont="1" applyBorder="1"/>
    <xf numFmtId="38" fontId="3" fillId="0" borderId="9" xfId="0" applyNumberFormat="1" applyFont="1" applyFill="1" applyBorder="1" applyAlignment="1">
      <alignment horizontal="center"/>
    </xf>
    <xf numFmtId="168" fontId="3" fillId="0" borderId="9" xfId="0" applyNumberFormat="1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2" fillId="4" borderId="10" xfId="0" applyFont="1" applyFill="1" applyBorder="1" applyAlignment="1">
      <alignment horizontal="center"/>
    </xf>
    <xf numFmtId="0" fontId="12" fillId="4" borderId="12" xfId="0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804"/>
  <sheetViews>
    <sheetView showGridLines="0" tabSelected="1" zoomScale="90" zoomScaleNormal="90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D305" sqref="D305"/>
    </sheetView>
  </sheetViews>
  <sheetFormatPr defaultColWidth="9.109375" defaultRowHeight="13.8" x14ac:dyDescent="0.3"/>
  <cols>
    <col min="1" max="1" width="3.6640625" style="4" customWidth="1"/>
    <col min="2" max="2" width="8.6640625" style="4" bestFit="1" customWidth="1"/>
    <col min="3" max="3" width="12.6640625" style="4" bestFit="1" customWidth="1"/>
    <col min="4" max="4" width="61.44140625" style="4" customWidth="1"/>
    <col min="5" max="5" width="13.109375" style="4" bestFit="1" customWidth="1"/>
    <col min="6" max="6" width="14.88671875" style="4" customWidth="1"/>
    <col min="7" max="7" width="8.5546875" style="4" bestFit="1" customWidth="1"/>
    <col min="8" max="8" width="13.6640625" style="5" bestFit="1" customWidth="1"/>
    <col min="9" max="9" width="14.88671875" style="4" customWidth="1"/>
    <col min="10" max="10" width="16.6640625" style="4" customWidth="1"/>
    <col min="11" max="11" width="16.6640625" style="4" bestFit="1" customWidth="1"/>
    <col min="12" max="12" width="13.6640625" style="4" customWidth="1"/>
    <col min="13" max="13" width="15.33203125" style="4" bestFit="1" customWidth="1"/>
    <col min="14" max="14" width="14.33203125" style="5" bestFit="1" customWidth="1"/>
    <col min="15" max="15" width="15" style="4" bestFit="1" customWidth="1"/>
    <col min="16" max="18" width="12.5546875" style="4" bestFit="1" customWidth="1"/>
    <col min="19" max="19" width="12.5546875" style="4" customWidth="1"/>
    <col min="20" max="20" width="13.5546875" style="4" bestFit="1" customWidth="1"/>
    <col min="21" max="16384" width="9.109375" style="4"/>
  </cols>
  <sheetData>
    <row r="1" spans="2:20" ht="31.2" x14ac:dyDescent="0.6">
      <c r="B1" s="1"/>
      <c r="C1" s="1"/>
      <c r="D1" s="85" t="s">
        <v>0</v>
      </c>
      <c r="E1" s="86"/>
      <c r="F1" s="87"/>
      <c r="G1" s="2"/>
      <c r="H1" s="3"/>
    </row>
    <row r="2" spans="2:20" s="13" customFormat="1" ht="28.8" x14ac:dyDescent="0.25">
      <c r="B2" s="6" t="s">
        <v>1</v>
      </c>
      <c r="C2" s="7" t="s">
        <v>2</v>
      </c>
      <c r="D2" s="7" t="s">
        <v>3</v>
      </c>
      <c r="E2" s="8" t="s">
        <v>4</v>
      </c>
      <c r="F2" s="8" t="s">
        <v>5</v>
      </c>
      <c r="G2" s="9" t="s">
        <v>6</v>
      </c>
      <c r="H2" s="10" t="s">
        <v>7</v>
      </c>
      <c r="I2" s="11" t="s">
        <v>8</v>
      </c>
      <c r="J2" s="7" t="s">
        <v>9</v>
      </c>
      <c r="K2" s="11" t="s">
        <v>10</v>
      </c>
      <c r="L2" s="11" t="s">
        <v>11</v>
      </c>
      <c r="M2" s="11" t="s">
        <v>12</v>
      </c>
      <c r="N2" s="12" t="s">
        <v>13</v>
      </c>
      <c r="O2" s="11" t="s">
        <v>14</v>
      </c>
      <c r="P2" s="11" t="s">
        <v>15</v>
      </c>
      <c r="Q2" s="11" t="s">
        <v>16</v>
      </c>
      <c r="R2" s="10" t="s">
        <v>17</v>
      </c>
      <c r="S2" s="7" t="s">
        <v>18</v>
      </c>
      <c r="T2" s="11" t="s">
        <v>19</v>
      </c>
    </row>
    <row r="3" spans="2:20" s="19" customFormat="1" ht="14.4" x14ac:dyDescent="0.3">
      <c r="B3" s="14"/>
      <c r="C3" s="15"/>
      <c r="D3" s="15"/>
      <c r="E3" s="16"/>
      <c r="F3" s="16"/>
      <c r="G3" s="17"/>
      <c r="H3" s="18"/>
      <c r="I3" s="15"/>
      <c r="J3" s="15"/>
      <c r="K3" s="15"/>
      <c r="L3" s="15"/>
      <c r="M3" s="15"/>
      <c r="N3" s="18"/>
      <c r="O3" s="15"/>
      <c r="P3" s="15"/>
      <c r="Q3" s="15"/>
      <c r="R3" s="18"/>
      <c r="S3" s="15"/>
      <c r="T3" s="15"/>
    </row>
    <row r="4" spans="2:20" ht="15.6" x14ac:dyDescent="0.3">
      <c r="B4" s="20"/>
      <c r="C4" s="21"/>
      <c r="D4" s="21"/>
      <c r="E4" s="21"/>
      <c r="F4" s="22" t="s">
        <v>20</v>
      </c>
      <c r="G4" s="23"/>
      <c r="H4" s="24" t="s">
        <v>21</v>
      </c>
      <c r="I4" s="22" t="s">
        <v>20</v>
      </c>
      <c r="J4" s="22" t="s">
        <v>20</v>
      </c>
      <c r="K4" s="22" t="s">
        <v>20</v>
      </c>
      <c r="L4" s="22" t="s">
        <v>20</v>
      </c>
      <c r="M4" s="22" t="s">
        <v>20</v>
      </c>
      <c r="N4" s="24" t="s">
        <v>20</v>
      </c>
      <c r="O4" s="22" t="s">
        <v>20</v>
      </c>
      <c r="P4" s="22" t="s">
        <v>22</v>
      </c>
      <c r="Q4" s="22" t="s">
        <v>22</v>
      </c>
      <c r="R4" s="24" t="s">
        <v>22</v>
      </c>
      <c r="S4" s="22" t="s">
        <v>22</v>
      </c>
      <c r="T4" s="21"/>
    </row>
    <row r="5" spans="2:20" ht="15.6" x14ac:dyDescent="0.3">
      <c r="B5" s="25"/>
      <c r="C5" s="25"/>
      <c r="D5" s="25"/>
      <c r="E5" s="25"/>
      <c r="F5" s="25"/>
      <c r="G5" s="25"/>
      <c r="H5" s="26"/>
      <c r="I5" s="27"/>
      <c r="J5" s="27"/>
      <c r="K5" s="27"/>
      <c r="L5" s="27"/>
      <c r="M5" s="27"/>
      <c r="N5" s="28"/>
      <c r="O5" s="27"/>
      <c r="P5" s="27"/>
      <c r="Q5" s="27"/>
      <c r="R5" s="28"/>
      <c r="S5" s="27"/>
      <c r="T5" s="27"/>
    </row>
    <row r="6" spans="2:20" ht="18" x14ac:dyDescent="0.35">
      <c r="B6" s="25"/>
      <c r="C6" s="29">
        <v>1</v>
      </c>
      <c r="D6" s="29" t="s">
        <v>23</v>
      </c>
      <c r="E6" s="25"/>
      <c r="F6" s="25"/>
      <c r="G6" s="25"/>
      <c r="H6" s="26"/>
      <c r="I6" s="27"/>
      <c r="J6" s="27"/>
      <c r="K6" s="27"/>
      <c r="L6" s="27"/>
      <c r="M6" s="27"/>
      <c r="N6" s="28"/>
      <c r="O6" s="27"/>
      <c r="P6" s="27"/>
      <c r="Q6" s="27"/>
      <c r="R6" s="28"/>
      <c r="S6" s="27"/>
      <c r="T6" s="27"/>
    </row>
    <row r="7" spans="2:20" ht="15.6" x14ac:dyDescent="0.3">
      <c r="B7" s="25"/>
      <c r="C7" s="25"/>
      <c r="D7" s="25"/>
      <c r="E7" s="25"/>
      <c r="F7" s="25"/>
      <c r="G7" s="25"/>
      <c r="H7" s="26"/>
      <c r="I7" s="27"/>
      <c r="J7" s="27"/>
      <c r="K7" s="27"/>
      <c r="L7" s="27"/>
      <c r="M7" s="27"/>
      <c r="N7" s="28"/>
      <c r="O7" s="27"/>
      <c r="P7" s="27"/>
      <c r="Q7" s="27"/>
      <c r="R7" s="28"/>
      <c r="S7" s="27"/>
      <c r="T7" s="27"/>
    </row>
    <row r="8" spans="2:20" ht="15.6" x14ac:dyDescent="0.3">
      <c r="B8" s="30">
        <v>1</v>
      </c>
      <c r="C8" s="30" t="s">
        <v>24</v>
      </c>
      <c r="D8" s="31" t="s">
        <v>25</v>
      </c>
      <c r="E8" s="32">
        <v>45473</v>
      </c>
      <c r="F8" s="33">
        <v>2835</v>
      </c>
      <c r="G8" s="34">
        <v>10</v>
      </c>
      <c r="H8" s="35">
        <f>+F8/G8</f>
        <v>283.5</v>
      </c>
      <c r="I8" s="33"/>
      <c r="J8" s="33"/>
      <c r="K8" s="33"/>
      <c r="L8" s="33"/>
      <c r="M8" s="33"/>
      <c r="N8" s="35">
        <f>+M8-O8</f>
        <v>0</v>
      </c>
      <c r="O8" s="33"/>
      <c r="P8" s="36">
        <f>7.5</f>
        <v>7.5</v>
      </c>
      <c r="Q8" s="36"/>
      <c r="R8" s="37">
        <f>SUM(P8:Q8)</f>
        <v>7.5</v>
      </c>
      <c r="S8" s="36"/>
      <c r="T8" s="38"/>
    </row>
    <row r="9" spans="2:20" ht="15.6" x14ac:dyDescent="0.3">
      <c r="B9" s="30">
        <f>+B8+1</f>
        <v>2</v>
      </c>
      <c r="C9" s="30" t="s">
        <v>26</v>
      </c>
      <c r="D9" s="31" t="s">
        <v>27</v>
      </c>
      <c r="E9" s="32">
        <v>45473</v>
      </c>
      <c r="F9" s="33">
        <v>2841.25</v>
      </c>
      <c r="G9" s="34">
        <v>10</v>
      </c>
      <c r="H9" s="35">
        <f>+F9/G9</f>
        <v>284.125</v>
      </c>
      <c r="I9" s="33"/>
      <c r="J9" s="33"/>
      <c r="K9" s="33"/>
      <c r="L9" s="33"/>
      <c r="M9" s="33"/>
      <c r="N9" s="35">
        <f>+M9-O9</f>
        <v>0</v>
      </c>
      <c r="O9" s="33"/>
      <c r="P9" s="36">
        <f>2.6</f>
        <v>2.6</v>
      </c>
      <c r="Q9" s="36"/>
      <c r="R9" s="37">
        <f>SUM(P9:Q9)</f>
        <v>2.6</v>
      </c>
      <c r="S9" s="36"/>
      <c r="T9" s="38"/>
    </row>
    <row r="10" spans="2:20" ht="15.6" x14ac:dyDescent="0.3">
      <c r="B10" s="30">
        <f>+B9+1</f>
        <v>3</v>
      </c>
      <c r="C10" s="30" t="s">
        <v>28</v>
      </c>
      <c r="D10" s="31" t="s">
        <v>29</v>
      </c>
      <c r="E10" s="32">
        <v>45473</v>
      </c>
      <c r="F10" s="33">
        <v>50</v>
      </c>
      <c r="G10" s="34">
        <v>10</v>
      </c>
      <c r="H10" s="35">
        <f>+F10/G10</f>
        <v>5</v>
      </c>
      <c r="I10" s="33">
        <v>71.860603999999995</v>
      </c>
      <c r="J10" s="33">
        <v>93.084914999999995</v>
      </c>
      <c r="K10" s="33">
        <v>26.952103999999999</v>
      </c>
      <c r="L10" s="33">
        <v>0</v>
      </c>
      <c r="M10" s="33">
        <v>24.588847999999999</v>
      </c>
      <c r="N10" s="35">
        <f>+M10-O10</f>
        <v>0.41537999999999897</v>
      </c>
      <c r="O10" s="33">
        <v>24.173468</v>
      </c>
      <c r="P10" s="36">
        <v>10</v>
      </c>
      <c r="Q10" s="36">
        <v>0</v>
      </c>
      <c r="R10" s="37">
        <f>SUM(P10:Q10)</f>
        <v>10</v>
      </c>
      <c r="S10" s="36"/>
      <c r="T10" s="38">
        <v>2532</v>
      </c>
    </row>
    <row r="12" spans="2:20" ht="18" x14ac:dyDescent="0.35">
      <c r="B12" s="25"/>
      <c r="C12" s="25"/>
      <c r="D12" s="39" t="s">
        <v>1127</v>
      </c>
      <c r="E12" s="25"/>
      <c r="F12" s="25"/>
      <c r="G12" s="40"/>
      <c r="H12" s="41"/>
      <c r="I12" s="27"/>
      <c r="J12" s="27"/>
      <c r="K12" s="27"/>
      <c r="L12" s="27"/>
      <c r="M12" s="27"/>
      <c r="N12" s="42"/>
      <c r="O12" s="27"/>
      <c r="P12" s="27"/>
      <c r="Q12" s="27"/>
      <c r="R12" s="42"/>
      <c r="S12" s="27"/>
      <c r="T12" s="27"/>
    </row>
    <row r="13" spans="2:20" ht="15.6" x14ac:dyDescent="0.3">
      <c r="B13" s="30">
        <v>1</v>
      </c>
      <c r="C13" s="30" t="s">
        <v>30</v>
      </c>
      <c r="D13" s="43" t="s">
        <v>31</v>
      </c>
      <c r="E13" s="32">
        <v>45473</v>
      </c>
      <c r="F13" s="33"/>
      <c r="G13" s="34">
        <v>10</v>
      </c>
      <c r="H13" s="35">
        <f>+F13/G13</f>
        <v>0</v>
      </c>
      <c r="I13" s="33"/>
      <c r="J13" s="33"/>
      <c r="K13" s="33"/>
      <c r="L13" s="33"/>
      <c r="M13" s="33"/>
      <c r="N13" s="35">
        <f>+M13-O13</f>
        <v>0</v>
      </c>
      <c r="O13" s="33"/>
      <c r="P13" s="36"/>
      <c r="Q13" s="36"/>
      <c r="R13" s="37">
        <f>SUM(P13:Q13)</f>
        <v>0</v>
      </c>
      <c r="S13" s="36"/>
      <c r="T13" s="38"/>
    </row>
    <row r="14" spans="2:20" ht="15.6" x14ac:dyDescent="0.3">
      <c r="B14" s="30">
        <f>+B13+1</f>
        <v>2</v>
      </c>
      <c r="C14" s="30" t="s">
        <v>32</v>
      </c>
      <c r="D14" s="31" t="s">
        <v>33</v>
      </c>
      <c r="E14" s="32">
        <v>45473</v>
      </c>
      <c r="F14" s="33"/>
      <c r="G14" s="34">
        <v>10</v>
      </c>
      <c r="H14" s="35">
        <f>+F14/G14</f>
        <v>0</v>
      </c>
      <c r="I14" s="33"/>
      <c r="J14" s="33"/>
      <c r="K14" s="33"/>
      <c r="L14" s="33"/>
      <c r="M14" s="33"/>
      <c r="N14" s="35">
        <f>+M14-O14</f>
        <v>0</v>
      </c>
      <c r="O14" s="33"/>
      <c r="P14" s="36"/>
      <c r="Q14" s="36"/>
      <c r="R14" s="37">
        <f>SUM(P14:Q14)</f>
        <v>0</v>
      </c>
      <c r="S14" s="36"/>
      <c r="T14" s="38"/>
    </row>
    <row r="15" spans="2:20" ht="15.6" x14ac:dyDescent="0.3">
      <c r="B15" s="25"/>
      <c r="C15" s="25"/>
      <c r="D15" s="25"/>
      <c r="E15" s="25"/>
      <c r="F15" s="25"/>
      <c r="G15" s="40"/>
      <c r="H15" s="41"/>
      <c r="I15" s="27"/>
      <c r="J15" s="27"/>
      <c r="K15" s="27"/>
      <c r="L15" s="27"/>
      <c r="M15" s="27"/>
      <c r="N15" s="42"/>
      <c r="O15" s="27"/>
      <c r="P15" s="27"/>
      <c r="Q15" s="27"/>
      <c r="R15" s="42"/>
      <c r="S15" s="27"/>
      <c r="T15" s="27"/>
    </row>
    <row r="16" spans="2:20" s="52" customFormat="1" ht="15.6" x14ac:dyDescent="0.3">
      <c r="B16" s="44">
        <f>COUNT(B8:B15)</f>
        <v>5</v>
      </c>
      <c r="C16" s="44"/>
      <c r="D16" s="45"/>
      <c r="E16" s="45"/>
      <c r="F16" s="45">
        <f>SUM(F8:F15)</f>
        <v>5726.25</v>
      </c>
      <c r="G16" s="46"/>
      <c r="H16" s="47">
        <f t="shared" ref="H16:O16" si="0">SUM(H8:H15)</f>
        <v>572.625</v>
      </c>
      <c r="I16" s="45">
        <f t="shared" si="0"/>
        <v>71.860603999999995</v>
      </c>
      <c r="J16" s="45">
        <f t="shared" si="0"/>
        <v>93.084914999999995</v>
      </c>
      <c r="K16" s="45">
        <f t="shared" si="0"/>
        <v>26.952103999999999</v>
      </c>
      <c r="L16" s="45">
        <f t="shared" si="0"/>
        <v>0</v>
      </c>
      <c r="M16" s="45">
        <f t="shared" si="0"/>
        <v>24.588847999999999</v>
      </c>
      <c r="N16" s="48">
        <f t="shared" si="0"/>
        <v>0.41537999999999897</v>
      </c>
      <c r="O16" s="45">
        <f t="shared" si="0"/>
        <v>24.173468</v>
      </c>
      <c r="P16" s="49"/>
      <c r="Q16" s="49"/>
      <c r="R16" s="50"/>
      <c r="S16" s="49"/>
      <c r="T16" s="51">
        <f>SUM(T8:T15)</f>
        <v>2532</v>
      </c>
    </row>
    <row r="17" spans="2:20" ht="15.6" x14ac:dyDescent="0.3">
      <c r="B17" s="25"/>
      <c r="C17" s="25"/>
      <c r="D17" s="25"/>
      <c r="E17" s="25"/>
      <c r="F17" s="25"/>
      <c r="G17" s="40"/>
      <c r="H17" s="41"/>
      <c r="I17" s="27"/>
      <c r="J17" s="27"/>
      <c r="K17" s="27"/>
      <c r="L17" s="27"/>
      <c r="M17" s="27"/>
      <c r="N17" s="42"/>
      <c r="O17" s="27"/>
      <c r="P17" s="27"/>
      <c r="Q17" s="27"/>
      <c r="R17" s="42"/>
      <c r="S17" s="27"/>
      <c r="T17" s="27"/>
    </row>
    <row r="18" spans="2:20" ht="15.6" x14ac:dyDescent="0.3">
      <c r="B18" s="25"/>
      <c r="C18" s="25"/>
      <c r="D18" s="25"/>
      <c r="E18" s="25"/>
      <c r="F18" s="25"/>
      <c r="G18" s="40"/>
      <c r="H18" s="41"/>
      <c r="I18" s="27"/>
      <c r="J18" s="27"/>
      <c r="K18" s="27"/>
      <c r="L18" s="27"/>
      <c r="M18" s="27"/>
      <c r="N18" s="42"/>
      <c r="O18" s="27"/>
      <c r="P18" s="27"/>
      <c r="Q18" s="27"/>
      <c r="R18" s="42"/>
      <c r="S18" s="27"/>
      <c r="T18" s="27"/>
    </row>
    <row r="19" spans="2:20" ht="18" x14ac:dyDescent="0.35">
      <c r="B19" s="25"/>
      <c r="C19" s="29">
        <v>2</v>
      </c>
      <c r="D19" s="29" t="s">
        <v>34</v>
      </c>
      <c r="E19" s="25"/>
      <c r="F19" s="25"/>
      <c r="G19" s="40"/>
      <c r="H19" s="41"/>
      <c r="I19" s="27"/>
      <c r="J19" s="27"/>
      <c r="K19" s="27"/>
      <c r="L19" s="27"/>
      <c r="M19" s="27"/>
      <c r="N19" s="42"/>
      <c r="O19" s="27"/>
      <c r="P19" s="27"/>
      <c r="Q19" s="27"/>
      <c r="R19" s="42"/>
      <c r="S19" s="27"/>
      <c r="T19" s="27"/>
    </row>
    <row r="20" spans="2:20" ht="15.6" x14ac:dyDescent="0.3">
      <c r="B20" s="25"/>
      <c r="C20" s="25"/>
      <c r="D20" s="25"/>
      <c r="E20" s="25"/>
      <c r="F20" s="25"/>
      <c r="G20" s="40"/>
      <c r="H20" s="41"/>
      <c r="I20" s="27"/>
      <c r="J20" s="27"/>
      <c r="K20" s="27"/>
      <c r="L20" s="27"/>
      <c r="M20" s="27"/>
      <c r="N20" s="42"/>
      <c r="O20" s="27"/>
      <c r="P20" s="27"/>
      <c r="Q20" s="27"/>
      <c r="R20" s="42"/>
      <c r="S20" s="27"/>
      <c r="T20" s="27"/>
    </row>
    <row r="21" spans="2:20" ht="15.6" x14ac:dyDescent="0.3">
      <c r="B21" s="30">
        <v>1</v>
      </c>
      <c r="C21" s="30" t="s">
        <v>35</v>
      </c>
      <c r="D21" s="31" t="s">
        <v>36</v>
      </c>
      <c r="E21" s="32">
        <v>45473</v>
      </c>
      <c r="F21" s="33">
        <v>75.151579999999996</v>
      </c>
      <c r="G21" s="34">
        <v>10</v>
      </c>
      <c r="H21" s="35">
        <f t="shared" ref="H21:H39" si="1">+F21/G21</f>
        <v>7.5151579999999996</v>
      </c>
      <c r="I21" s="33">
        <f>123.766938+17.604802</f>
        <v>141.37173999999999</v>
      </c>
      <c r="J21" s="33">
        <v>145.59083799999999</v>
      </c>
      <c r="K21" s="33">
        <v>18.445027</v>
      </c>
      <c r="L21" s="33">
        <v>0</v>
      </c>
      <c r="M21" s="33">
        <v>7.534224</v>
      </c>
      <c r="N21" s="35">
        <f t="shared" ref="N21:N39" si="2">+M21-O21</f>
        <v>1.2648349999999997</v>
      </c>
      <c r="O21" s="33">
        <v>6.2693890000000003</v>
      </c>
      <c r="P21" s="36">
        <v>0</v>
      </c>
      <c r="Q21" s="36">
        <v>0</v>
      </c>
      <c r="R21" s="37">
        <f t="shared" ref="R21:R39" si="3">SUM(P21:Q21)</f>
        <v>0</v>
      </c>
      <c r="S21" s="36"/>
      <c r="T21" s="38">
        <v>1157</v>
      </c>
    </row>
    <row r="22" spans="2:20" ht="15.6" x14ac:dyDescent="0.3">
      <c r="B22" s="30">
        <f t="shared" ref="B22:B40" si="4">+B21+1</f>
        <v>2</v>
      </c>
      <c r="C22" s="30" t="s">
        <v>37</v>
      </c>
      <c r="D22" s="31" t="s">
        <v>38</v>
      </c>
      <c r="E22" s="32">
        <v>45473</v>
      </c>
      <c r="F22" s="33">
        <v>231</v>
      </c>
      <c r="G22" s="34">
        <v>10</v>
      </c>
      <c r="H22" s="35">
        <f t="shared" si="1"/>
        <v>23.1</v>
      </c>
      <c r="I22" s="33">
        <v>256.73854599999999</v>
      </c>
      <c r="J22" s="33">
        <v>269.11681900000002</v>
      </c>
      <c r="K22" s="33">
        <v>34.859717000000003</v>
      </c>
      <c r="L22" s="33">
        <v>2.7054999999999999E-2</v>
      </c>
      <c r="M22" s="33">
        <v>3.9852439999999998</v>
      </c>
      <c r="N22" s="35">
        <f t="shared" si="2"/>
        <v>3.5951399999999998</v>
      </c>
      <c r="O22" s="33">
        <v>0.39010400000000001</v>
      </c>
      <c r="P22" s="36">
        <v>0</v>
      </c>
      <c r="Q22" s="36">
        <v>0</v>
      </c>
      <c r="R22" s="37">
        <f t="shared" si="3"/>
        <v>0</v>
      </c>
      <c r="S22" s="36"/>
      <c r="T22" s="38">
        <v>544</v>
      </c>
    </row>
    <row r="23" spans="2:20" ht="15.6" x14ac:dyDescent="0.3">
      <c r="B23" s="30">
        <f t="shared" si="4"/>
        <v>3</v>
      </c>
      <c r="C23" s="30" t="s">
        <v>39</v>
      </c>
      <c r="D23" s="31" t="s">
        <v>40</v>
      </c>
      <c r="E23" s="32">
        <v>45473</v>
      </c>
      <c r="F23" s="33"/>
      <c r="G23" s="34">
        <v>10</v>
      </c>
      <c r="H23" s="35">
        <f t="shared" si="1"/>
        <v>0</v>
      </c>
      <c r="I23" s="33"/>
      <c r="J23" s="33"/>
      <c r="K23" s="33"/>
      <c r="L23" s="33"/>
      <c r="M23" s="33"/>
      <c r="N23" s="35">
        <f t="shared" si="2"/>
        <v>0</v>
      </c>
      <c r="O23" s="33"/>
      <c r="P23" s="36"/>
      <c r="Q23" s="36"/>
      <c r="R23" s="37">
        <f t="shared" si="3"/>
        <v>0</v>
      </c>
      <c r="S23" s="36"/>
      <c r="T23" s="38"/>
    </row>
    <row r="24" spans="2:20" ht="15.6" x14ac:dyDescent="0.3">
      <c r="B24" s="30">
        <f t="shared" si="4"/>
        <v>4</v>
      </c>
      <c r="C24" s="30" t="s">
        <v>41</v>
      </c>
      <c r="D24" s="31" t="s">
        <v>42</v>
      </c>
      <c r="E24" s="32">
        <v>45473</v>
      </c>
      <c r="F24" s="33">
        <v>113.4</v>
      </c>
      <c r="G24" s="34">
        <v>10</v>
      </c>
      <c r="H24" s="35">
        <f t="shared" si="1"/>
        <v>11.34</v>
      </c>
      <c r="I24" s="33">
        <v>122.03033000000001</v>
      </c>
      <c r="J24" s="33">
        <v>201.338517</v>
      </c>
      <c r="K24" s="33">
        <v>69.320516999999995</v>
      </c>
      <c r="L24" s="33">
        <v>1.1362000000000001E-2</v>
      </c>
      <c r="M24" s="33">
        <v>24.778880000000001</v>
      </c>
      <c r="N24" s="35">
        <f t="shared" si="2"/>
        <v>1.1371710000000022</v>
      </c>
      <c r="O24" s="33">
        <v>23.641708999999999</v>
      </c>
      <c r="P24" s="36">
        <v>0</v>
      </c>
      <c r="Q24" s="36">
        <v>0</v>
      </c>
      <c r="R24" s="37">
        <f t="shared" si="3"/>
        <v>0</v>
      </c>
      <c r="S24" s="36"/>
      <c r="T24" s="38">
        <v>4272</v>
      </c>
    </row>
    <row r="25" spans="2:20" ht="15.6" x14ac:dyDescent="0.3">
      <c r="B25" s="30">
        <f t="shared" si="4"/>
        <v>5</v>
      </c>
      <c r="C25" s="30" t="s">
        <v>43</v>
      </c>
      <c r="D25" s="31" t="s">
        <v>44</v>
      </c>
      <c r="E25" s="32">
        <v>45473</v>
      </c>
      <c r="F25" s="33">
        <v>524.4</v>
      </c>
      <c r="G25" s="34">
        <v>10</v>
      </c>
      <c r="H25" s="35">
        <f t="shared" si="1"/>
        <v>52.44</v>
      </c>
      <c r="I25" s="33">
        <v>561.70376499999998</v>
      </c>
      <c r="J25" s="33">
        <v>619.66351499999996</v>
      </c>
      <c r="K25" s="33">
        <v>8.8793419999999994</v>
      </c>
      <c r="L25" s="33">
        <v>8.9899999999999995E-4</v>
      </c>
      <c r="M25" s="33">
        <v>-19.395641999999999</v>
      </c>
      <c r="N25" s="35">
        <f t="shared" si="2"/>
        <v>4.0337000000000955E-2</v>
      </c>
      <c r="O25" s="33">
        <v>-19.435979</v>
      </c>
      <c r="P25" s="36">
        <v>0</v>
      </c>
      <c r="Q25" s="36">
        <v>0</v>
      </c>
      <c r="R25" s="37">
        <f t="shared" si="3"/>
        <v>0</v>
      </c>
      <c r="S25" s="36"/>
      <c r="T25" s="38">
        <v>4787</v>
      </c>
    </row>
    <row r="26" spans="2:20" ht="15.6" x14ac:dyDescent="0.3">
      <c r="B26" s="30">
        <f t="shared" si="4"/>
        <v>6</v>
      </c>
      <c r="C26" s="30" t="s">
        <v>45</v>
      </c>
      <c r="D26" s="31" t="s">
        <v>46</v>
      </c>
      <c r="E26" s="32">
        <v>45473</v>
      </c>
      <c r="F26" s="33">
        <v>264.13803999999999</v>
      </c>
      <c r="G26" s="34">
        <v>10</v>
      </c>
      <c r="H26" s="35">
        <f t="shared" si="1"/>
        <v>26.413803999999999</v>
      </c>
      <c r="I26" s="33">
        <v>302.073463</v>
      </c>
      <c r="J26" s="33">
        <v>332.59785699999998</v>
      </c>
      <c r="K26" s="33">
        <v>8.7286549999999998</v>
      </c>
      <c r="L26" s="33">
        <v>0</v>
      </c>
      <c r="M26" s="33">
        <v>-22.749744</v>
      </c>
      <c r="N26" s="35">
        <f t="shared" si="2"/>
        <v>0</v>
      </c>
      <c r="O26" s="33">
        <v>-22.749744</v>
      </c>
      <c r="P26" s="36">
        <v>0</v>
      </c>
      <c r="Q26" s="36">
        <v>0</v>
      </c>
      <c r="R26" s="37">
        <f t="shared" si="3"/>
        <v>0</v>
      </c>
      <c r="S26" s="36"/>
      <c r="T26" s="38">
        <v>7256</v>
      </c>
    </row>
    <row r="27" spans="2:20" ht="15.6" x14ac:dyDescent="0.3">
      <c r="B27" s="30">
        <f t="shared" si="4"/>
        <v>7</v>
      </c>
      <c r="C27" s="30" t="s">
        <v>47</v>
      </c>
      <c r="D27" s="31" t="s">
        <v>48</v>
      </c>
      <c r="E27" s="32">
        <v>45473</v>
      </c>
      <c r="F27" s="33">
        <v>1108.3050000000001</v>
      </c>
      <c r="G27" s="34">
        <v>5</v>
      </c>
      <c r="H27" s="35">
        <f t="shared" si="1"/>
        <v>221.661</v>
      </c>
      <c r="I27" s="33">
        <v>5074.4273300000004</v>
      </c>
      <c r="J27" s="33">
        <v>26409.925192999999</v>
      </c>
      <c r="K27" s="33">
        <f>5184.636965</f>
        <v>5184.6369649999997</v>
      </c>
      <c r="L27" s="33">
        <v>3505.342815</v>
      </c>
      <c r="M27" s="33">
        <v>1197.2609399999999</v>
      </c>
      <c r="N27" s="35">
        <f t="shared" si="2"/>
        <v>507.06359899999984</v>
      </c>
      <c r="O27" s="33">
        <v>690.19734100000005</v>
      </c>
      <c r="P27" s="36">
        <v>21</v>
      </c>
      <c r="Q27" s="36">
        <v>0</v>
      </c>
      <c r="R27" s="37">
        <f t="shared" si="3"/>
        <v>21</v>
      </c>
      <c r="S27" s="36"/>
      <c r="T27" s="38">
        <v>5157</v>
      </c>
    </row>
    <row r="28" spans="2:20" ht="15.6" x14ac:dyDescent="0.3">
      <c r="B28" s="30">
        <f t="shared" si="4"/>
        <v>8</v>
      </c>
      <c r="C28" s="30" t="s">
        <v>49</v>
      </c>
      <c r="D28" s="31" t="s">
        <v>50</v>
      </c>
      <c r="E28" s="32">
        <v>45473</v>
      </c>
      <c r="F28" s="33">
        <v>216.875</v>
      </c>
      <c r="G28" s="34">
        <v>10</v>
      </c>
      <c r="H28" s="35">
        <f t="shared" si="1"/>
        <v>21.6875</v>
      </c>
      <c r="I28" s="33">
        <v>210.659944</v>
      </c>
      <c r="J28" s="33">
        <v>241.81647699999999</v>
      </c>
      <c r="K28" s="33">
        <v>52.099777000000003</v>
      </c>
      <c r="L28" s="33">
        <v>0</v>
      </c>
      <c r="M28" s="33">
        <v>21.423705999999999</v>
      </c>
      <c r="N28" s="35">
        <f t="shared" si="2"/>
        <v>9.9688819999999989</v>
      </c>
      <c r="O28" s="33">
        <v>11.454824</v>
      </c>
      <c r="P28" s="36">
        <v>0</v>
      </c>
      <c r="Q28" s="36">
        <v>0</v>
      </c>
      <c r="R28" s="37">
        <f t="shared" si="3"/>
        <v>0</v>
      </c>
      <c r="S28" s="36"/>
      <c r="T28" s="38">
        <v>1185</v>
      </c>
    </row>
    <row r="29" spans="2:20" ht="15.6" x14ac:dyDescent="0.3">
      <c r="B29" s="30">
        <f t="shared" si="4"/>
        <v>9</v>
      </c>
      <c r="C29" s="30" t="s">
        <v>51</v>
      </c>
      <c r="D29" s="31" t="s">
        <v>52</v>
      </c>
      <c r="E29" s="32">
        <v>45473</v>
      </c>
      <c r="F29" s="33">
        <v>30</v>
      </c>
      <c r="G29" s="34">
        <v>10</v>
      </c>
      <c r="H29" s="35">
        <f t="shared" si="1"/>
        <v>3</v>
      </c>
      <c r="I29" s="33">
        <v>221.85796199999999</v>
      </c>
      <c r="J29" s="33">
        <v>539.69161999999994</v>
      </c>
      <c r="K29" s="33">
        <v>1260.138291</v>
      </c>
      <c r="L29" s="33">
        <v>34.134898</v>
      </c>
      <c r="M29" s="33">
        <v>72.318548000000007</v>
      </c>
      <c r="N29" s="35">
        <f t="shared" si="2"/>
        <v>0</v>
      </c>
      <c r="O29" s="33">
        <v>72.318548000000007</v>
      </c>
      <c r="P29" s="36">
        <v>150</v>
      </c>
      <c r="Q29" s="36">
        <v>0</v>
      </c>
      <c r="R29" s="37">
        <f t="shared" si="3"/>
        <v>150</v>
      </c>
      <c r="S29" s="36"/>
      <c r="T29" s="38">
        <v>219</v>
      </c>
    </row>
    <row r="30" spans="2:20" ht="15.6" x14ac:dyDescent="0.3">
      <c r="B30" s="30">
        <f t="shared" si="4"/>
        <v>10</v>
      </c>
      <c r="C30" s="30" t="s">
        <v>53</v>
      </c>
      <c r="D30" s="43" t="s">
        <v>54</v>
      </c>
      <c r="E30" s="32">
        <v>45473</v>
      </c>
      <c r="F30" s="33"/>
      <c r="G30" s="34">
        <v>10</v>
      </c>
      <c r="H30" s="35">
        <f t="shared" si="1"/>
        <v>0</v>
      </c>
      <c r="I30" s="33"/>
      <c r="J30" s="33"/>
      <c r="K30" s="33"/>
      <c r="L30" s="33"/>
      <c r="M30" s="33"/>
      <c r="N30" s="35">
        <f t="shared" si="2"/>
        <v>0</v>
      </c>
      <c r="O30" s="33"/>
      <c r="P30" s="36"/>
      <c r="Q30" s="36"/>
      <c r="R30" s="37">
        <f t="shared" si="3"/>
        <v>0</v>
      </c>
      <c r="S30" s="36"/>
      <c r="T30" s="38"/>
    </row>
    <row r="31" spans="2:20" ht="15.6" x14ac:dyDescent="0.3">
      <c r="B31" s="30">
        <f t="shared" si="4"/>
        <v>11</v>
      </c>
      <c r="C31" s="30" t="s">
        <v>55</v>
      </c>
      <c r="D31" s="31" t="s">
        <v>56</v>
      </c>
      <c r="E31" s="32">
        <v>45473</v>
      </c>
      <c r="F31" s="33">
        <v>137.88419300000001</v>
      </c>
      <c r="G31" s="34">
        <v>10</v>
      </c>
      <c r="H31" s="35">
        <f t="shared" si="1"/>
        <v>13.788419300000001</v>
      </c>
      <c r="I31" s="33">
        <v>249.99484799999999</v>
      </c>
      <c r="J31" s="33">
        <v>474.91436700000003</v>
      </c>
      <c r="K31" s="33">
        <v>105.151647</v>
      </c>
      <c r="L31" s="33">
        <v>21.556892999999999</v>
      </c>
      <c r="M31" s="33">
        <v>40.037726999999997</v>
      </c>
      <c r="N31" s="35">
        <f t="shared" si="2"/>
        <v>11.495249999999995</v>
      </c>
      <c r="O31" s="33">
        <v>28.542477000000002</v>
      </c>
      <c r="P31" s="36">
        <v>0</v>
      </c>
      <c r="Q31" s="36">
        <v>0</v>
      </c>
      <c r="R31" s="37">
        <f t="shared" si="3"/>
        <v>0</v>
      </c>
      <c r="S31" s="36"/>
      <c r="T31" s="38">
        <v>1210</v>
      </c>
    </row>
    <row r="32" spans="2:20" ht="15.6" x14ac:dyDescent="0.3">
      <c r="B32" s="30">
        <f t="shared" si="4"/>
        <v>12</v>
      </c>
      <c r="C32" s="30" t="s">
        <v>57</v>
      </c>
      <c r="D32" s="31" t="s">
        <v>58</v>
      </c>
      <c r="E32" s="32">
        <v>45473</v>
      </c>
      <c r="F32" s="33">
        <v>8835.9028699999999</v>
      </c>
      <c r="G32" s="34">
        <v>10</v>
      </c>
      <c r="H32" s="35">
        <f>+F32/G32</f>
        <v>883.59028699999999</v>
      </c>
      <c r="I32" s="33">
        <v>3341.7350000000001</v>
      </c>
      <c r="J32" s="33">
        <v>3948.163</v>
      </c>
      <c r="K32" s="33">
        <v>4148.2619999999997</v>
      </c>
      <c r="L32" s="33">
        <v>2.8420000000000001</v>
      </c>
      <c r="M32" s="33">
        <v>216.49299999999999</v>
      </c>
      <c r="N32" s="35">
        <f>+M32-O32</f>
        <v>-49.896000000000015</v>
      </c>
      <c r="O32" s="33">
        <v>266.38900000000001</v>
      </c>
      <c r="P32" s="36">
        <v>0</v>
      </c>
      <c r="Q32" s="36">
        <v>0</v>
      </c>
      <c r="R32" s="37">
        <f>SUM(P32:Q32)</f>
        <v>0</v>
      </c>
      <c r="S32" s="36"/>
      <c r="T32" s="38">
        <v>488</v>
      </c>
    </row>
    <row r="33" spans="2:20" ht="15.6" x14ac:dyDescent="0.3">
      <c r="B33" s="30">
        <f t="shared" si="4"/>
        <v>13</v>
      </c>
      <c r="C33" s="30" t="s">
        <v>59</v>
      </c>
      <c r="D33" s="31" t="s">
        <v>60</v>
      </c>
      <c r="E33" s="32">
        <v>45473</v>
      </c>
      <c r="F33" s="33">
        <v>211.63104000000001</v>
      </c>
      <c r="G33" s="34">
        <v>10</v>
      </c>
      <c r="H33" s="35">
        <f t="shared" si="1"/>
        <v>21.163104000000001</v>
      </c>
      <c r="I33" s="33">
        <v>410.73377799999997</v>
      </c>
      <c r="J33" s="33">
        <v>565.30668200000002</v>
      </c>
      <c r="K33" s="33">
        <v>34.826749999999997</v>
      </c>
      <c r="L33" s="33">
        <v>1.9092629999999999</v>
      </c>
      <c r="M33" s="33">
        <v>0.50688299999999997</v>
      </c>
      <c r="N33" s="35">
        <f t="shared" si="2"/>
        <v>-1.1548700000000001</v>
      </c>
      <c r="O33" s="33">
        <v>1.661753</v>
      </c>
      <c r="P33" s="36">
        <f>20+20</f>
        <v>40</v>
      </c>
      <c r="Q33" s="36">
        <v>0</v>
      </c>
      <c r="R33" s="37">
        <f t="shared" si="3"/>
        <v>40</v>
      </c>
      <c r="S33" s="36"/>
      <c r="T33" s="38">
        <v>2585</v>
      </c>
    </row>
    <row r="34" spans="2:20" ht="15.6" x14ac:dyDescent="0.3">
      <c r="B34" s="30">
        <f t="shared" si="4"/>
        <v>14</v>
      </c>
      <c r="C34" s="30" t="s">
        <v>61</v>
      </c>
      <c r="D34" s="43" t="s">
        <v>62</v>
      </c>
      <c r="E34" s="32">
        <v>45473</v>
      </c>
      <c r="F34" s="33">
        <v>1293.9167600000001</v>
      </c>
      <c r="G34" s="34">
        <v>10</v>
      </c>
      <c r="H34" s="35">
        <f t="shared" si="1"/>
        <v>129.39167600000002</v>
      </c>
      <c r="I34" s="33">
        <v>751.77387399999998</v>
      </c>
      <c r="J34" s="33">
        <v>1021.460033</v>
      </c>
      <c r="K34" s="33">
        <v>201.65152</v>
      </c>
      <c r="L34" s="33">
        <v>36.443826000000001</v>
      </c>
      <c r="M34" s="33">
        <v>71.261009000000001</v>
      </c>
      <c r="N34" s="35">
        <f t="shared" si="2"/>
        <v>9.5650690000000012</v>
      </c>
      <c r="O34" s="33">
        <v>61.69594</v>
      </c>
      <c r="P34" s="36">
        <v>3</v>
      </c>
      <c r="Q34" s="36">
        <v>0</v>
      </c>
      <c r="R34" s="37">
        <f t="shared" si="3"/>
        <v>3</v>
      </c>
      <c r="S34" s="36"/>
      <c r="T34" s="38">
        <v>15503</v>
      </c>
    </row>
    <row r="35" spans="2:20" ht="15.6" x14ac:dyDescent="0.3">
      <c r="B35" s="30">
        <f t="shared" si="4"/>
        <v>15</v>
      </c>
      <c r="C35" s="30" t="s">
        <v>63</v>
      </c>
      <c r="D35" s="43" t="s">
        <v>64</v>
      </c>
      <c r="E35" s="32">
        <v>45473</v>
      </c>
      <c r="F35" s="33">
        <v>140</v>
      </c>
      <c r="G35" s="34">
        <v>10</v>
      </c>
      <c r="H35" s="35">
        <f>+F35/G35</f>
        <v>14</v>
      </c>
      <c r="I35" s="33">
        <v>213.63169199999999</v>
      </c>
      <c r="J35" s="33">
        <v>232.65375700000001</v>
      </c>
      <c r="K35" s="33">
        <v>45.693424999999998</v>
      </c>
      <c r="L35" s="33">
        <v>0</v>
      </c>
      <c r="M35" s="33">
        <v>28.246569000000001</v>
      </c>
      <c r="N35" s="35">
        <f>+M35-O35</f>
        <v>3.5505589999999998</v>
      </c>
      <c r="O35" s="33">
        <v>24.696010000000001</v>
      </c>
      <c r="P35" s="36">
        <v>10</v>
      </c>
      <c r="Q35" s="36">
        <v>0</v>
      </c>
      <c r="R35" s="37">
        <f>SUM(P35:Q35)</f>
        <v>10</v>
      </c>
      <c r="S35" s="36"/>
      <c r="T35" s="38">
        <v>1001</v>
      </c>
    </row>
    <row r="36" spans="2:20" ht="15.6" x14ac:dyDescent="0.3">
      <c r="B36" s="30">
        <f t="shared" si="4"/>
        <v>16</v>
      </c>
      <c r="C36" s="30" t="s">
        <v>65</v>
      </c>
      <c r="D36" s="43" t="s">
        <v>66</v>
      </c>
      <c r="E36" s="32">
        <v>45473</v>
      </c>
      <c r="F36" s="33">
        <v>750</v>
      </c>
      <c r="G36" s="34">
        <v>10</v>
      </c>
      <c r="H36" s="35">
        <f>+F36/G36</f>
        <v>75</v>
      </c>
      <c r="I36" s="33">
        <v>1396.6245349999999</v>
      </c>
      <c r="J36" s="33">
        <v>2331.5243221999999</v>
      </c>
      <c r="K36" s="33">
        <v>2122.2229499999999</v>
      </c>
      <c r="L36" s="33">
        <v>119.44830899999999</v>
      </c>
      <c r="M36" s="33">
        <v>364.882138</v>
      </c>
      <c r="N36" s="35">
        <f>+M36-O36</f>
        <v>146.51126099999999</v>
      </c>
      <c r="O36" s="33">
        <v>218.37087700000001</v>
      </c>
      <c r="P36" s="36">
        <v>12</v>
      </c>
      <c r="Q36" s="36">
        <v>0</v>
      </c>
      <c r="R36" s="37">
        <f>SUM(P36:Q36)</f>
        <v>12</v>
      </c>
      <c r="S36" s="36"/>
      <c r="T36" s="38">
        <v>639</v>
      </c>
    </row>
    <row r="37" spans="2:20" ht="15.6" x14ac:dyDescent="0.3">
      <c r="B37" s="30">
        <f t="shared" si="4"/>
        <v>17</v>
      </c>
      <c r="C37" s="30" t="s">
        <v>67</v>
      </c>
      <c r="D37" s="31" t="s">
        <v>68</v>
      </c>
      <c r="E37" s="32">
        <v>45473</v>
      </c>
      <c r="F37" s="33">
        <v>453.83530000000002</v>
      </c>
      <c r="G37" s="34">
        <v>10</v>
      </c>
      <c r="H37" s="35">
        <f t="shared" si="1"/>
        <v>45.38353</v>
      </c>
      <c r="I37" s="33">
        <v>1243.592699</v>
      </c>
      <c r="J37" s="33">
        <v>7738.3352080000004</v>
      </c>
      <c r="K37" s="33">
        <v>2111.413924</v>
      </c>
      <c r="L37" s="33">
        <v>1090.503471</v>
      </c>
      <c r="M37" s="33">
        <v>223.85925800000001</v>
      </c>
      <c r="N37" s="35">
        <f t="shared" si="2"/>
        <v>66.122071000000005</v>
      </c>
      <c r="O37" s="33">
        <v>157.73718700000001</v>
      </c>
      <c r="P37" s="36">
        <v>20</v>
      </c>
      <c r="Q37" s="36">
        <v>0</v>
      </c>
      <c r="R37" s="37">
        <f t="shared" si="3"/>
        <v>20</v>
      </c>
      <c r="S37" s="36"/>
      <c r="T37" s="38">
        <v>8255</v>
      </c>
    </row>
    <row r="38" spans="2:20" ht="15.6" x14ac:dyDescent="0.3">
      <c r="B38" s="30">
        <f t="shared" si="4"/>
        <v>18</v>
      </c>
      <c r="C38" s="30" t="s">
        <v>69</v>
      </c>
      <c r="D38" s="31" t="s">
        <v>70</v>
      </c>
      <c r="E38" s="32">
        <v>45473</v>
      </c>
      <c r="F38" s="33">
        <v>450</v>
      </c>
      <c r="G38" s="34">
        <v>10</v>
      </c>
      <c r="H38" s="35">
        <f t="shared" si="1"/>
        <v>45</v>
      </c>
      <c r="I38" s="33">
        <v>1867.3099010000001</v>
      </c>
      <c r="J38" s="33">
        <v>1938.2022890000001</v>
      </c>
      <c r="K38" s="33">
        <v>407.34078599999998</v>
      </c>
      <c r="L38" s="33">
        <v>0</v>
      </c>
      <c r="M38" s="33">
        <v>306.49037399999997</v>
      </c>
      <c r="N38" s="35">
        <f t="shared" si="2"/>
        <v>105.15985399999997</v>
      </c>
      <c r="O38" s="33">
        <v>201.33052000000001</v>
      </c>
      <c r="P38" s="36">
        <v>12.5</v>
      </c>
      <c r="Q38" s="36">
        <v>0</v>
      </c>
      <c r="R38" s="37">
        <f t="shared" si="3"/>
        <v>12.5</v>
      </c>
      <c r="S38" s="36"/>
      <c r="T38" s="38">
        <v>860</v>
      </c>
    </row>
    <row r="39" spans="2:20" ht="15.6" x14ac:dyDescent="0.3">
      <c r="B39" s="30">
        <f t="shared" si="4"/>
        <v>19</v>
      </c>
      <c r="C39" s="30" t="s">
        <v>71</v>
      </c>
      <c r="D39" s="31" t="s">
        <v>72</v>
      </c>
      <c r="E39" s="32">
        <v>45473</v>
      </c>
      <c r="F39" s="33">
        <v>298</v>
      </c>
      <c r="G39" s="34">
        <v>10</v>
      </c>
      <c r="H39" s="35">
        <f t="shared" si="1"/>
        <v>29.8</v>
      </c>
      <c r="I39" s="33">
        <v>347.73757499999999</v>
      </c>
      <c r="J39" s="33">
        <v>414.351428</v>
      </c>
      <c r="K39" s="33">
        <v>61.904581</v>
      </c>
      <c r="L39" s="33">
        <v>0</v>
      </c>
      <c r="M39" s="33">
        <v>26.072817000000001</v>
      </c>
      <c r="N39" s="35">
        <f t="shared" si="2"/>
        <v>4.8416910000000009</v>
      </c>
      <c r="O39" s="33">
        <v>21.231126</v>
      </c>
      <c r="P39" s="36">
        <v>5</v>
      </c>
      <c r="Q39" s="36">
        <v>0</v>
      </c>
      <c r="R39" s="37">
        <f t="shared" si="3"/>
        <v>5</v>
      </c>
      <c r="S39" s="36"/>
      <c r="T39" s="38">
        <v>2522</v>
      </c>
    </row>
    <row r="40" spans="2:20" ht="15.6" x14ac:dyDescent="0.3">
      <c r="B40" s="30">
        <f t="shared" si="4"/>
        <v>20</v>
      </c>
      <c r="C40" s="30" t="s">
        <v>73</v>
      </c>
      <c r="D40" s="31" t="s">
        <v>74</v>
      </c>
      <c r="E40" s="32">
        <v>45473</v>
      </c>
      <c r="F40" s="33">
        <v>236.4</v>
      </c>
      <c r="G40" s="34">
        <v>10</v>
      </c>
      <c r="H40" s="35">
        <f>+F40/G40</f>
        <v>23.64</v>
      </c>
      <c r="I40" s="33">
        <v>53.558759999999999</v>
      </c>
      <c r="J40" s="33">
        <v>61.789656999999998</v>
      </c>
      <c r="K40" s="33">
        <v>1.9</v>
      </c>
      <c r="L40" s="33">
        <v>0</v>
      </c>
      <c r="M40" s="33">
        <v>-0.36865799999999999</v>
      </c>
      <c r="N40" s="35">
        <f>+M40-O40</f>
        <v>0</v>
      </c>
      <c r="O40" s="33">
        <v>-0.36865799999999999</v>
      </c>
      <c r="P40" s="36">
        <v>0</v>
      </c>
      <c r="Q40" s="36">
        <v>0</v>
      </c>
      <c r="R40" s="37">
        <f>SUM(P40:Q40)</f>
        <v>0</v>
      </c>
      <c r="S40" s="36"/>
      <c r="T40" s="38"/>
    </row>
    <row r="41" spans="2:20" ht="15.6" x14ac:dyDescent="0.3">
      <c r="B41" s="25"/>
      <c r="C41" s="25"/>
      <c r="D41" s="25"/>
      <c r="E41" s="25"/>
      <c r="F41" s="25"/>
      <c r="G41" s="40"/>
      <c r="H41" s="41"/>
      <c r="I41" s="27"/>
      <c r="J41" s="27"/>
      <c r="K41" s="27"/>
      <c r="L41" s="27"/>
      <c r="M41" s="27"/>
      <c r="N41" s="42"/>
      <c r="O41" s="27"/>
      <c r="P41" s="27"/>
      <c r="Q41" s="27"/>
      <c r="R41" s="42"/>
      <c r="S41" s="27"/>
      <c r="T41" s="27"/>
    </row>
    <row r="42" spans="2:20" ht="18" x14ac:dyDescent="0.35">
      <c r="B42" s="25"/>
      <c r="C42" s="25"/>
      <c r="D42" s="39" t="s">
        <v>1127</v>
      </c>
      <c r="E42" s="25"/>
      <c r="F42" s="25"/>
      <c r="G42" s="40"/>
      <c r="H42" s="41"/>
      <c r="I42" s="27"/>
      <c r="J42" s="27"/>
      <c r="K42" s="27"/>
      <c r="L42" s="27"/>
      <c r="M42" s="27"/>
      <c r="N42" s="42"/>
      <c r="O42" s="27"/>
      <c r="P42" s="27"/>
      <c r="Q42" s="27"/>
      <c r="R42" s="42"/>
      <c r="S42" s="27"/>
      <c r="T42" s="27"/>
    </row>
    <row r="43" spans="2:20" ht="15.6" x14ac:dyDescent="0.3">
      <c r="B43" s="30">
        <v>1</v>
      </c>
      <c r="C43" s="30" t="s">
        <v>75</v>
      </c>
      <c r="D43" s="31" t="s">
        <v>76</v>
      </c>
      <c r="E43" s="32">
        <v>45473</v>
      </c>
      <c r="F43" s="33"/>
      <c r="G43" s="34">
        <v>10</v>
      </c>
      <c r="H43" s="35">
        <f>+F43/G43</f>
        <v>0</v>
      </c>
      <c r="I43" s="33"/>
      <c r="J43" s="33"/>
      <c r="K43" s="33"/>
      <c r="L43" s="33"/>
      <c r="M43" s="33"/>
      <c r="N43" s="35">
        <f>+M43-O43</f>
        <v>0</v>
      </c>
      <c r="O43" s="33"/>
      <c r="P43" s="36"/>
      <c r="Q43" s="36"/>
      <c r="R43" s="37">
        <f>SUM(P43:Q43)</f>
        <v>0</v>
      </c>
      <c r="S43" s="36"/>
      <c r="T43" s="38"/>
    </row>
    <row r="44" spans="2:20" ht="15.6" x14ac:dyDescent="0.3">
      <c r="B44" s="30">
        <f>+B43+1</f>
        <v>2</v>
      </c>
      <c r="C44" s="30" t="s">
        <v>77</v>
      </c>
      <c r="D44" s="31" t="s">
        <v>78</v>
      </c>
      <c r="E44" s="32">
        <v>45473</v>
      </c>
      <c r="F44" s="33">
        <v>250</v>
      </c>
      <c r="G44" s="34">
        <v>10</v>
      </c>
      <c r="H44" s="35">
        <f>+F44/G44</f>
        <v>25</v>
      </c>
      <c r="I44" s="33">
        <v>-20.844995999999998</v>
      </c>
      <c r="J44" s="33">
        <v>402.50634200000002</v>
      </c>
      <c r="K44" s="33">
        <v>50.181646000000001</v>
      </c>
      <c r="L44" s="33">
        <v>49.59516</v>
      </c>
      <c r="M44" s="33">
        <v>43.004210999999998</v>
      </c>
      <c r="N44" s="35">
        <f>+M44-O44</f>
        <v>8.2447919999999968</v>
      </c>
      <c r="O44" s="33">
        <v>34.759419000000001</v>
      </c>
      <c r="P44" s="36">
        <v>0</v>
      </c>
      <c r="Q44" s="36">
        <v>0</v>
      </c>
      <c r="R44" s="37">
        <f>SUM(P44:Q44)</f>
        <v>0</v>
      </c>
      <c r="S44" s="36"/>
      <c r="T44" s="38">
        <v>1046</v>
      </c>
    </row>
    <row r="45" spans="2:20" ht="15.6" x14ac:dyDescent="0.3">
      <c r="B45" s="25"/>
      <c r="C45" s="25"/>
      <c r="D45" s="25"/>
      <c r="E45" s="25"/>
      <c r="F45" s="25"/>
      <c r="G45" s="40"/>
      <c r="H45" s="41"/>
      <c r="I45" s="27"/>
      <c r="J45" s="27"/>
      <c r="K45" s="27"/>
      <c r="L45" s="27"/>
      <c r="M45" s="27"/>
      <c r="N45" s="42"/>
      <c r="O45" s="27"/>
      <c r="P45" s="27"/>
      <c r="Q45" s="27"/>
      <c r="R45" s="42"/>
      <c r="S45" s="27"/>
      <c r="T45" s="27"/>
    </row>
    <row r="46" spans="2:20" s="52" customFormat="1" ht="15.6" x14ac:dyDescent="0.3">
      <c r="B46" s="44">
        <f>COUNT(B21:B45)</f>
        <v>22</v>
      </c>
      <c r="C46" s="44"/>
      <c r="D46" s="45"/>
      <c r="E46" s="45"/>
      <c r="F46" s="45">
        <f>SUM(F21:F45)</f>
        <v>15620.839782999999</v>
      </c>
      <c r="G46" s="46"/>
      <c r="H46" s="47">
        <f t="shared" ref="H46:O46" si="5">SUM(H21:H45)</f>
        <v>1672.9144783000002</v>
      </c>
      <c r="I46" s="45">
        <f t="shared" si="5"/>
        <v>16746.710746000001</v>
      </c>
      <c r="J46" s="45">
        <f t="shared" si="5"/>
        <v>47888.947921200008</v>
      </c>
      <c r="K46" s="45">
        <f t="shared" si="5"/>
        <v>15927.657520000001</v>
      </c>
      <c r="L46" s="45">
        <f t="shared" si="5"/>
        <v>4861.8159509999996</v>
      </c>
      <c r="M46" s="45">
        <f t="shared" si="5"/>
        <v>2605.6414840000002</v>
      </c>
      <c r="N46" s="48">
        <f t="shared" si="5"/>
        <v>827.50964099999965</v>
      </c>
      <c r="O46" s="45">
        <f t="shared" si="5"/>
        <v>1778.1318430000001</v>
      </c>
      <c r="P46" s="49"/>
      <c r="Q46" s="49"/>
      <c r="R46" s="50"/>
      <c r="S46" s="49"/>
      <c r="T46" s="51">
        <f>SUM(T21:T45)</f>
        <v>58686</v>
      </c>
    </row>
    <row r="47" spans="2:20" ht="15.6" x14ac:dyDescent="0.3">
      <c r="B47" s="25"/>
      <c r="C47" s="25"/>
      <c r="D47" s="25"/>
      <c r="E47" s="25"/>
      <c r="F47" s="25"/>
      <c r="G47" s="40"/>
      <c r="H47" s="41"/>
      <c r="I47" s="27"/>
      <c r="J47" s="27"/>
      <c r="K47" s="27"/>
      <c r="L47" s="27"/>
      <c r="M47" s="27"/>
      <c r="N47" s="42"/>
      <c r="O47" s="27"/>
      <c r="P47" s="27"/>
      <c r="Q47" s="27"/>
      <c r="R47" s="42"/>
      <c r="S47" s="27"/>
      <c r="T47" s="27"/>
    </row>
    <row r="48" spans="2:20" ht="15.6" x14ac:dyDescent="0.3">
      <c r="B48" s="25"/>
      <c r="C48" s="25"/>
      <c r="D48" s="25"/>
      <c r="E48" s="25"/>
      <c r="F48" s="25"/>
      <c r="G48" s="40"/>
      <c r="H48" s="41"/>
      <c r="I48" s="27"/>
      <c r="J48" s="27"/>
      <c r="K48" s="27"/>
      <c r="L48" s="27"/>
      <c r="M48" s="27"/>
      <c r="N48" s="42"/>
      <c r="O48" s="27"/>
      <c r="P48" s="27"/>
      <c r="Q48" s="27"/>
      <c r="R48" s="42"/>
      <c r="S48" s="27"/>
      <c r="T48" s="27"/>
    </row>
    <row r="49" spans="2:20" ht="18" x14ac:dyDescent="0.35">
      <c r="B49" s="25"/>
      <c r="C49" s="29">
        <v>3</v>
      </c>
      <c r="D49" s="29" t="s">
        <v>79</v>
      </c>
      <c r="E49" s="25"/>
      <c r="F49" s="25"/>
      <c r="G49" s="40"/>
      <c r="H49" s="41"/>
      <c r="I49" s="27"/>
      <c r="J49" s="27"/>
      <c r="K49" s="27"/>
      <c r="L49" s="27"/>
      <c r="M49" s="27"/>
      <c r="N49" s="42"/>
      <c r="O49" s="27"/>
      <c r="P49" s="27"/>
      <c r="Q49" s="27"/>
      <c r="R49" s="42"/>
      <c r="S49" s="27"/>
      <c r="T49" s="27"/>
    </row>
    <row r="50" spans="2:20" ht="15.6" x14ac:dyDescent="0.3">
      <c r="B50" s="25"/>
      <c r="C50" s="25"/>
      <c r="D50" s="25"/>
      <c r="E50" s="25"/>
      <c r="F50" s="25"/>
      <c r="G50" s="40"/>
      <c r="H50" s="41"/>
      <c r="I50" s="27"/>
      <c r="J50" s="27"/>
      <c r="K50" s="27"/>
      <c r="L50" s="27"/>
      <c r="M50" s="27"/>
      <c r="N50" s="42"/>
      <c r="O50" s="27"/>
      <c r="P50" s="27"/>
      <c r="Q50" s="27"/>
      <c r="R50" s="42"/>
      <c r="S50" s="27"/>
      <c r="T50" s="27"/>
    </row>
    <row r="51" spans="2:20" ht="15.6" x14ac:dyDescent="0.3">
      <c r="B51" s="30">
        <v>1</v>
      </c>
      <c r="C51" s="30" t="s">
        <v>80</v>
      </c>
      <c r="D51" s="31" t="s">
        <v>81</v>
      </c>
      <c r="E51" s="32">
        <v>45473</v>
      </c>
      <c r="F51" s="33">
        <v>215</v>
      </c>
      <c r="G51" s="34">
        <v>10</v>
      </c>
      <c r="H51" s="35">
        <f t="shared" ref="H51:H52" si="6">+F51/G51</f>
        <v>21.5</v>
      </c>
      <c r="I51" s="33">
        <v>71.153002999999998</v>
      </c>
      <c r="J51" s="33">
        <v>298.11664400000001</v>
      </c>
      <c r="K51" s="33">
        <v>30.514766999999999</v>
      </c>
      <c r="L51" s="33">
        <v>0.47839500000000001</v>
      </c>
      <c r="M51" s="33">
        <v>14.774065999999999</v>
      </c>
      <c r="N51" s="35">
        <f t="shared" ref="N51:N52" si="7">+M51-O51</f>
        <v>7.0119819999999997</v>
      </c>
      <c r="O51" s="33">
        <v>7.7620839999999998</v>
      </c>
      <c r="P51" s="36">
        <v>0</v>
      </c>
      <c r="Q51" s="36">
        <v>0</v>
      </c>
      <c r="R51" s="37">
        <f t="shared" ref="R51" si="8">SUM(P51:Q51)</f>
        <v>0</v>
      </c>
      <c r="S51" s="36"/>
      <c r="T51" s="38">
        <v>415</v>
      </c>
    </row>
    <row r="52" spans="2:20" ht="15.6" x14ac:dyDescent="0.3">
      <c r="B52" s="30">
        <f>+B51+1</f>
        <v>2</v>
      </c>
      <c r="C52" s="30" t="s">
        <v>82</v>
      </c>
      <c r="D52" s="31" t="s">
        <v>83</v>
      </c>
      <c r="E52" s="32">
        <v>45473</v>
      </c>
      <c r="F52" s="33">
        <v>494.71109999999999</v>
      </c>
      <c r="G52" s="34">
        <v>10</v>
      </c>
      <c r="H52" s="35">
        <f t="shared" si="6"/>
        <v>49.471109999999996</v>
      </c>
      <c r="I52" s="33">
        <v>910.35651199999995</v>
      </c>
      <c r="J52" s="33">
        <v>1950.5192079999999</v>
      </c>
      <c r="K52" s="33">
        <v>281.35556300000002</v>
      </c>
      <c r="L52" s="33">
        <v>77.541089999999997</v>
      </c>
      <c r="M52" s="33">
        <v>142.94767200000001</v>
      </c>
      <c r="N52" s="35">
        <f t="shared" si="7"/>
        <v>64.149146000000016</v>
      </c>
      <c r="O52" s="33">
        <v>78.798525999999995</v>
      </c>
      <c r="P52" s="36">
        <v>0</v>
      </c>
      <c r="Q52" s="36">
        <v>0</v>
      </c>
      <c r="R52" s="37">
        <f t="shared" ref="R52" si="9">SUM(P52:Q52)</f>
        <v>0</v>
      </c>
      <c r="S52" s="36"/>
      <c r="T52" s="38">
        <v>386</v>
      </c>
    </row>
    <row r="53" spans="2:20" ht="15.6" x14ac:dyDescent="0.3">
      <c r="B53" s="25"/>
      <c r="C53" s="25"/>
      <c r="D53" s="25"/>
      <c r="E53" s="25"/>
      <c r="F53" s="25"/>
      <c r="G53" s="40"/>
      <c r="H53" s="41"/>
      <c r="I53" s="27"/>
      <c r="J53" s="27"/>
      <c r="K53" s="27"/>
      <c r="L53" s="27"/>
      <c r="M53" s="27"/>
      <c r="N53" s="42"/>
      <c r="O53" s="27"/>
      <c r="P53" s="27"/>
      <c r="Q53" s="27"/>
      <c r="R53" s="42"/>
      <c r="S53" s="27"/>
      <c r="T53" s="27"/>
    </row>
    <row r="54" spans="2:20" ht="18" x14ac:dyDescent="0.35">
      <c r="B54" s="25"/>
      <c r="C54" s="25"/>
      <c r="D54" s="39" t="s">
        <v>1127</v>
      </c>
      <c r="E54" s="25"/>
      <c r="F54" s="25"/>
      <c r="G54" s="40"/>
      <c r="H54" s="41"/>
      <c r="I54" s="27"/>
      <c r="J54" s="27"/>
      <c r="K54" s="27"/>
      <c r="L54" s="27"/>
      <c r="M54" s="27"/>
      <c r="N54" s="42"/>
      <c r="O54" s="27"/>
      <c r="P54" s="27"/>
      <c r="Q54" s="27"/>
      <c r="R54" s="42"/>
      <c r="S54" s="27"/>
      <c r="T54" s="27"/>
    </row>
    <row r="55" spans="2:20" ht="15.6" x14ac:dyDescent="0.3">
      <c r="B55" s="30">
        <v>1</v>
      </c>
      <c r="C55" s="30" t="s">
        <v>84</v>
      </c>
      <c r="D55" s="31" t="s">
        <v>85</v>
      </c>
      <c r="E55" s="32">
        <v>45473</v>
      </c>
      <c r="F55" s="33"/>
      <c r="G55" s="34">
        <v>10</v>
      </c>
      <c r="H55" s="35">
        <f>+F55/G55</f>
        <v>0</v>
      </c>
      <c r="I55" s="33"/>
      <c r="J55" s="33"/>
      <c r="K55" s="33"/>
      <c r="L55" s="33"/>
      <c r="M55" s="33"/>
      <c r="N55" s="35">
        <f>+M55-O55</f>
        <v>0</v>
      </c>
      <c r="O55" s="33"/>
      <c r="P55" s="36"/>
      <c r="Q55" s="36"/>
      <c r="R55" s="37">
        <f>SUM(P55:Q55)</f>
        <v>0</v>
      </c>
      <c r="S55" s="36"/>
      <c r="T55" s="38"/>
    </row>
    <row r="56" spans="2:20" ht="15.6" x14ac:dyDescent="0.3">
      <c r="B56" s="30">
        <f>+B55+1</f>
        <v>2</v>
      </c>
      <c r="C56" s="30" t="s">
        <v>86</v>
      </c>
      <c r="D56" s="31" t="s">
        <v>87</v>
      </c>
      <c r="E56" s="32">
        <v>45473</v>
      </c>
      <c r="F56" s="33"/>
      <c r="G56" s="34">
        <v>10</v>
      </c>
      <c r="H56" s="35">
        <f>+F56/G56</f>
        <v>0</v>
      </c>
      <c r="I56" s="33"/>
      <c r="J56" s="33"/>
      <c r="K56" s="33"/>
      <c r="L56" s="33"/>
      <c r="M56" s="33"/>
      <c r="N56" s="35">
        <f>+M56-O56</f>
        <v>0</v>
      </c>
      <c r="O56" s="33"/>
      <c r="P56" s="36"/>
      <c r="Q56" s="36"/>
      <c r="R56" s="37">
        <f>SUM(P56:Q56)</f>
        <v>0</v>
      </c>
      <c r="S56" s="36"/>
      <c r="T56" s="38"/>
    </row>
    <row r="57" spans="2:20" ht="15.6" x14ac:dyDescent="0.3">
      <c r="B57" s="30">
        <f t="shared" ref="B57:B59" si="10">+B56+1</f>
        <v>3</v>
      </c>
      <c r="C57" s="30" t="s">
        <v>88</v>
      </c>
      <c r="D57" s="31" t="s">
        <v>89</v>
      </c>
      <c r="E57" s="32">
        <v>45473</v>
      </c>
      <c r="F57" s="33">
        <v>438.02775000000003</v>
      </c>
      <c r="G57" s="34">
        <v>10</v>
      </c>
      <c r="H57" s="35">
        <f>+F57/G57</f>
        <v>43.802775000000004</v>
      </c>
      <c r="I57" s="33">
        <v>45.891832999999998</v>
      </c>
      <c r="J57" s="33">
        <v>541.60520599999995</v>
      </c>
      <c r="K57" s="33">
        <v>15.564083999999999</v>
      </c>
      <c r="L57" s="33">
        <v>3.8990000000000001E-3</v>
      </c>
      <c r="M57" s="33">
        <v>15.970905999999999</v>
      </c>
      <c r="N57" s="35">
        <f>+M57-O57</f>
        <v>0</v>
      </c>
      <c r="O57" s="33">
        <v>15.970905999999999</v>
      </c>
      <c r="P57" s="36">
        <v>0</v>
      </c>
      <c r="Q57" s="36">
        <v>0</v>
      </c>
      <c r="R57" s="37">
        <f>SUM(P57:Q57)</f>
        <v>0</v>
      </c>
      <c r="S57" s="36"/>
      <c r="T57" s="38">
        <v>405</v>
      </c>
    </row>
    <row r="58" spans="2:20" ht="15.6" x14ac:dyDescent="0.3">
      <c r="B58" s="30">
        <f t="shared" si="10"/>
        <v>4</v>
      </c>
      <c r="C58" s="30" t="s">
        <v>90</v>
      </c>
      <c r="D58" s="31" t="s">
        <v>91</v>
      </c>
      <c r="E58" s="32">
        <v>45657</v>
      </c>
      <c r="F58" s="33"/>
      <c r="G58" s="34">
        <v>10</v>
      </c>
      <c r="H58" s="35">
        <f t="shared" ref="H58" si="11">+F58/G58</f>
        <v>0</v>
      </c>
      <c r="I58" s="33"/>
      <c r="J58" s="33"/>
      <c r="K58" s="33"/>
      <c r="L58" s="33"/>
      <c r="M58" s="33"/>
      <c r="N58" s="35">
        <f t="shared" ref="N58" si="12">+M58-O58</f>
        <v>0</v>
      </c>
      <c r="O58" s="33"/>
      <c r="P58" s="36"/>
      <c r="Q58" s="36"/>
      <c r="R58" s="37">
        <f t="shared" ref="R58" si="13">SUM(P58:Q58)</f>
        <v>0</v>
      </c>
      <c r="S58" s="36"/>
      <c r="T58" s="38"/>
    </row>
    <row r="59" spans="2:20" ht="15.6" x14ac:dyDescent="0.3">
      <c r="B59" s="30">
        <f t="shared" si="10"/>
        <v>5</v>
      </c>
      <c r="C59" s="30" t="s">
        <v>92</v>
      </c>
      <c r="D59" s="31" t="s">
        <v>93</v>
      </c>
      <c r="E59" s="32">
        <v>45473</v>
      </c>
      <c r="F59" s="33">
        <v>979.81349999999998</v>
      </c>
      <c r="G59" s="34">
        <v>10</v>
      </c>
      <c r="H59" s="35">
        <f>+F59/G59</f>
        <v>97.981349999999992</v>
      </c>
      <c r="I59" s="33">
        <v>-459.73666300000002</v>
      </c>
      <c r="J59" s="33">
        <v>734.61142500000005</v>
      </c>
      <c r="K59" s="33">
        <v>154.002805</v>
      </c>
      <c r="L59" s="33">
        <v>47.402878999999999</v>
      </c>
      <c r="M59" s="33">
        <v>107.177536</v>
      </c>
      <c r="N59" s="35">
        <f>+M59-O59</f>
        <v>0</v>
      </c>
      <c r="O59" s="33">
        <v>107.177536</v>
      </c>
      <c r="P59" s="36">
        <v>0</v>
      </c>
      <c r="Q59" s="36">
        <v>0</v>
      </c>
      <c r="R59" s="37">
        <f>SUM(P59:Q59)</f>
        <v>0</v>
      </c>
      <c r="S59" s="36"/>
      <c r="T59" s="38"/>
    </row>
    <row r="60" spans="2:20" ht="15.6" x14ac:dyDescent="0.3">
      <c r="B60" s="25"/>
      <c r="C60" s="25"/>
      <c r="D60" s="25"/>
      <c r="E60" s="25"/>
      <c r="F60" s="25"/>
      <c r="G60" s="40"/>
      <c r="H60" s="41"/>
      <c r="I60" s="27"/>
      <c r="J60" s="27"/>
      <c r="K60" s="27"/>
      <c r="L60" s="27"/>
      <c r="M60" s="27"/>
      <c r="N60" s="42"/>
      <c r="O60" s="27"/>
      <c r="P60" s="27"/>
      <c r="Q60" s="27"/>
      <c r="R60" s="42"/>
      <c r="S60" s="27"/>
      <c r="T60" s="27"/>
    </row>
    <row r="61" spans="2:20" ht="15.6" x14ac:dyDescent="0.3">
      <c r="B61" s="44">
        <f>COUNT(B51:B60)</f>
        <v>7</v>
      </c>
      <c r="C61" s="44"/>
      <c r="D61" s="45"/>
      <c r="E61" s="45"/>
      <c r="F61" s="45">
        <f>SUM(F51:F60)</f>
        <v>2127.5523499999999</v>
      </c>
      <c r="G61" s="46"/>
      <c r="H61" s="47">
        <f t="shared" ref="H61:O61" si="14">SUM(H51:H60)</f>
        <v>212.755235</v>
      </c>
      <c r="I61" s="45">
        <f t="shared" si="14"/>
        <v>567.66468499999985</v>
      </c>
      <c r="J61" s="45">
        <f t="shared" si="14"/>
        <v>3524.8524829999997</v>
      </c>
      <c r="K61" s="45">
        <f t="shared" si="14"/>
        <v>481.43721900000003</v>
      </c>
      <c r="L61" s="45">
        <f t="shared" si="14"/>
        <v>125.42626300000001</v>
      </c>
      <c r="M61" s="45">
        <f t="shared" si="14"/>
        <v>280.87018</v>
      </c>
      <c r="N61" s="48">
        <f t="shared" si="14"/>
        <v>71.161128000000019</v>
      </c>
      <c r="O61" s="45">
        <f t="shared" si="14"/>
        <v>209.70905199999999</v>
      </c>
      <c r="P61" s="49"/>
      <c r="Q61" s="49"/>
      <c r="R61" s="50"/>
      <c r="S61" s="49"/>
      <c r="T61" s="51">
        <f>SUM(T51:T60)</f>
        <v>1206</v>
      </c>
    </row>
    <row r="62" spans="2:20" ht="15.6" x14ac:dyDescent="0.3">
      <c r="B62" s="25"/>
      <c r="C62" s="25"/>
      <c r="D62" s="25"/>
      <c r="E62" s="25"/>
      <c r="F62" s="25"/>
      <c r="G62" s="40"/>
      <c r="H62" s="41"/>
      <c r="I62" s="27"/>
      <c r="J62" s="27"/>
      <c r="K62" s="27"/>
      <c r="L62" s="27"/>
      <c r="M62" s="27"/>
      <c r="N62" s="42"/>
      <c r="O62" s="27"/>
      <c r="P62" s="27"/>
      <c r="Q62" s="27"/>
      <c r="R62" s="42"/>
      <c r="S62" s="27"/>
      <c r="T62" s="27"/>
    </row>
    <row r="63" spans="2:20" ht="15.6" x14ac:dyDescent="0.3">
      <c r="B63" s="25"/>
      <c r="C63" s="25"/>
      <c r="D63" s="25"/>
      <c r="E63" s="25"/>
      <c r="F63" s="25"/>
      <c r="G63" s="40"/>
      <c r="H63" s="41"/>
      <c r="I63" s="27"/>
      <c r="J63" s="27"/>
      <c r="K63" s="27"/>
      <c r="L63" s="27"/>
      <c r="M63" s="27"/>
      <c r="N63" s="42"/>
      <c r="O63" s="27"/>
      <c r="P63" s="27"/>
      <c r="Q63" s="27"/>
      <c r="R63" s="42"/>
      <c r="S63" s="27"/>
      <c r="T63" s="27"/>
    </row>
    <row r="64" spans="2:20" ht="18" x14ac:dyDescent="0.35">
      <c r="B64" s="25"/>
      <c r="C64" s="29">
        <v>4</v>
      </c>
      <c r="D64" s="88" t="s">
        <v>94</v>
      </c>
      <c r="E64" s="89"/>
      <c r="F64" s="90"/>
      <c r="G64" s="40"/>
      <c r="H64" s="41"/>
      <c r="I64" s="27"/>
      <c r="J64" s="27"/>
      <c r="K64" s="27"/>
      <c r="L64" s="27"/>
      <c r="M64" s="27"/>
      <c r="N64" s="42"/>
      <c r="O64" s="27"/>
      <c r="P64" s="27"/>
      <c r="Q64" s="27"/>
      <c r="R64" s="42"/>
      <c r="S64" s="27"/>
      <c r="T64" s="27"/>
    </row>
    <row r="65" spans="2:20" ht="15.6" x14ac:dyDescent="0.3">
      <c r="B65" s="25"/>
      <c r="C65" s="25"/>
      <c r="D65" s="25"/>
      <c r="E65" s="25"/>
      <c r="F65" s="25"/>
      <c r="G65" s="40"/>
      <c r="H65" s="41"/>
      <c r="I65" s="27"/>
      <c r="J65" s="27"/>
      <c r="K65" s="27"/>
      <c r="L65" s="27"/>
      <c r="M65" s="27"/>
      <c r="N65" s="42"/>
      <c r="O65" s="27"/>
      <c r="P65" s="27"/>
      <c r="Q65" s="27"/>
      <c r="R65" s="42"/>
      <c r="S65" s="27"/>
      <c r="T65" s="27"/>
    </row>
    <row r="66" spans="2:20" ht="15.6" x14ac:dyDescent="0.3">
      <c r="B66" s="30">
        <v>1</v>
      </c>
      <c r="C66" s="30">
        <v>786</v>
      </c>
      <c r="D66" s="31" t="s">
        <v>95</v>
      </c>
      <c r="E66" s="32">
        <v>45473</v>
      </c>
      <c r="F66" s="33">
        <v>149.73750000000001</v>
      </c>
      <c r="G66" s="34">
        <v>10</v>
      </c>
      <c r="H66" s="35">
        <f t="shared" ref="H66:H96" si="15">+F66/G66</f>
        <v>14.973750000000001</v>
      </c>
      <c r="I66" s="33">
        <v>236.341566</v>
      </c>
      <c r="J66" s="33">
        <v>260.51534299999997</v>
      </c>
      <c r="K66" s="33">
        <v>46.699435999999999</v>
      </c>
      <c r="L66" s="33">
        <v>3.8625060000000002</v>
      </c>
      <c r="M66" s="33">
        <v>9.9113389999999999</v>
      </c>
      <c r="N66" s="35">
        <f t="shared" ref="N66:N96" si="16">+M66-O66</f>
        <v>4.252491</v>
      </c>
      <c r="O66" s="33">
        <v>5.6588479999999999</v>
      </c>
      <c r="P66" s="36">
        <v>0</v>
      </c>
      <c r="Q66" s="36">
        <v>0</v>
      </c>
      <c r="R66" s="37">
        <f t="shared" ref="R66:R96" si="17">SUM(P66:Q66)</f>
        <v>0</v>
      </c>
      <c r="S66" s="36"/>
      <c r="T66" s="38">
        <v>876</v>
      </c>
    </row>
    <row r="67" spans="2:20" ht="15.6" x14ac:dyDescent="0.3">
      <c r="B67" s="30">
        <f>+B66+1</f>
        <v>2</v>
      </c>
      <c r="C67" s="30" t="s">
        <v>96</v>
      </c>
      <c r="D67" s="31" t="s">
        <v>97</v>
      </c>
      <c r="E67" s="32">
        <v>45473</v>
      </c>
      <c r="F67" s="33">
        <v>653.4</v>
      </c>
      <c r="G67" s="34">
        <v>10</v>
      </c>
      <c r="H67" s="35">
        <f t="shared" si="15"/>
        <v>65.34</v>
      </c>
      <c r="I67" s="33">
        <v>1273.18174</v>
      </c>
      <c r="J67" s="33">
        <v>5679.8974589999998</v>
      </c>
      <c r="K67" s="33">
        <v>1494.8662380000001</v>
      </c>
      <c r="L67" s="33">
        <v>97.980035999999998</v>
      </c>
      <c r="M67" s="33">
        <v>762.32174199999997</v>
      </c>
      <c r="N67" s="35">
        <f t="shared" si="16"/>
        <v>150.37500199999999</v>
      </c>
      <c r="O67" s="33">
        <v>611.94673999999998</v>
      </c>
      <c r="P67" s="36">
        <v>50</v>
      </c>
      <c r="Q67" s="36">
        <v>0</v>
      </c>
      <c r="R67" s="37">
        <f t="shared" si="17"/>
        <v>50</v>
      </c>
      <c r="S67" s="36"/>
      <c r="T67" s="38">
        <v>3065</v>
      </c>
    </row>
    <row r="68" spans="2:20" ht="15.6" x14ac:dyDescent="0.3">
      <c r="B68" s="30">
        <f>+B67+1</f>
        <v>3</v>
      </c>
      <c r="C68" s="30" t="s">
        <v>98</v>
      </c>
      <c r="D68" s="31" t="s">
        <v>99</v>
      </c>
      <c r="E68" s="32">
        <v>45657</v>
      </c>
      <c r="F68" s="33">
        <v>5578.3417099999997</v>
      </c>
      <c r="G68" s="34">
        <v>10</v>
      </c>
      <c r="H68" s="35">
        <f t="shared" si="15"/>
        <v>557.83417099999997</v>
      </c>
      <c r="I68" s="33">
        <v>9405.3198319999992</v>
      </c>
      <c r="J68" s="33">
        <v>14211.7107</v>
      </c>
      <c r="K68" s="33">
        <v>2632.6939000000002</v>
      </c>
      <c r="L68" s="33">
        <v>146.240824</v>
      </c>
      <c r="M68" s="33">
        <v>1660.946017</v>
      </c>
      <c r="N68" s="35">
        <f t="shared" si="16"/>
        <v>401.5504719999999</v>
      </c>
      <c r="O68" s="33">
        <v>1259.3955450000001</v>
      </c>
      <c r="P68" s="36">
        <v>20</v>
      </c>
      <c r="Q68" s="36">
        <v>0</v>
      </c>
      <c r="R68" s="37">
        <f t="shared" si="17"/>
        <v>20</v>
      </c>
      <c r="S68" s="36"/>
      <c r="T68" s="38">
        <v>4092</v>
      </c>
    </row>
    <row r="69" spans="2:20" ht="15.6" x14ac:dyDescent="0.3">
      <c r="B69" s="30">
        <f t="shared" ref="B69:B96" si="18">+B68+1</f>
        <v>4</v>
      </c>
      <c r="C69" s="30" t="s">
        <v>100</v>
      </c>
      <c r="D69" s="31" t="s">
        <v>101</v>
      </c>
      <c r="E69" s="32">
        <v>45657</v>
      </c>
      <c r="F69" s="33">
        <v>4289.84962</v>
      </c>
      <c r="G69" s="34">
        <v>10</v>
      </c>
      <c r="H69" s="35">
        <f>+F69/G69</f>
        <v>428.984962</v>
      </c>
      <c r="I69" s="33">
        <v>-9432.7044860000005</v>
      </c>
      <c r="J69" s="33">
        <v>17445.61953</v>
      </c>
      <c r="K69" s="33">
        <v>2808.8275450000001</v>
      </c>
      <c r="L69" s="33">
        <v>0</v>
      </c>
      <c r="M69" s="33">
        <v>-3099.9921519999998</v>
      </c>
      <c r="N69" s="35">
        <f>+M69-O69</f>
        <v>0</v>
      </c>
      <c r="O69" s="33">
        <v>-3099.9921519999998</v>
      </c>
      <c r="P69" s="36">
        <v>0</v>
      </c>
      <c r="Q69" s="36">
        <v>0</v>
      </c>
      <c r="R69" s="37">
        <f>SUM(P69:Q69)</f>
        <v>0</v>
      </c>
      <c r="S69" s="36"/>
      <c r="T69" s="38"/>
    </row>
    <row r="70" spans="2:20" ht="15.6" x14ac:dyDescent="0.3">
      <c r="B70" s="30">
        <f t="shared" si="18"/>
        <v>5</v>
      </c>
      <c r="C70" s="30" t="s">
        <v>102</v>
      </c>
      <c r="D70" s="31" t="s">
        <v>103</v>
      </c>
      <c r="E70" s="32">
        <v>45657</v>
      </c>
      <c r="F70" s="33">
        <v>615.59100000000001</v>
      </c>
      <c r="G70" s="34">
        <v>10</v>
      </c>
      <c r="H70" s="35">
        <f t="shared" si="15"/>
        <v>61.559100000000001</v>
      </c>
      <c r="I70" s="33">
        <v>1968.422</v>
      </c>
      <c r="J70" s="33">
        <v>2234.384</v>
      </c>
      <c r="K70" s="33">
        <v>282.93599999999998</v>
      </c>
      <c r="L70" s="33">
        <v>0</v>
      </c>
      <c r="M70" s="33">
        <v>673.94500000000005</v>
      </c>
      <c r="N70" s="35">
        <f t="shared" si="16"/>
        <v>116.26100000000008</v>
      </c>
      <c r="O70" s="33">
        <v>557.68399999999997</v>
      </c>
      <c r="P70" s="36">
        <f>40+10</f>
        <v>50</v>
      </c>
      <c r="Q70" s="36">
        <v>0</v>
      </c>
      <c r="R70" s="37">
        <f t="shared" si="17"/>
        <v>50</v>
      </c>
      <c r="S70" s="36"/>
      <c r="T70" s="38">
        <v>1739</v>
      </c>
    </row>
    <row r="71" spans="2:20" ht="16.5" customHeight="1" x14ac:dyDescent="0.3">
      <c r="B71" s="30">
        <f t="shared" si="18"/>
        <v>6</v>
      </c>
      <c r="C71" s="30" t="s">
        <v>104</v>
      </c>
      <c r="D71" s="31" t="s">
        <v>105</v>
      </c>
      <c r="E71" s="32">
        <v>45473</v>
      </c>
      <c r="F71" s="33">
        <v>107.44413</v>
      </c>
      <c r="G71" s="34">
        <v>10</v>
      </c>
      <c r="H71" s="35">
        <f>+F71/G71</f>
        <v>10.744413</v>
      </c>
      <c r="I71" s="33">
        <v>288.25823400000002</v>
      </c>
      <c r="J71" s="33">
        <v>311.25907699999999</v>
      </c>
      <c r="K71" s="33">
        <v>42.039363000000002</v>
      </c>
      <c r="L71" s="33">
        <v>2.15E-3</v>
      </c>
      <c r="M71" s="33">
        <v>27.330815000000001</v>
      </c>
      <c r="N71" s="35">
        <f>+M71-O71</f>
        <v>0</v>
      </c>
      <c r="O71" s="33">
        <v>27.330815000000001</v>
      </c>
      <c r="P71" s="36">
        <v>0</v>
      </c>
      <c r="Q71" s="36">
        <v>0</v>
      </c>
      <c r="R71" s="37">
        <f>SUM(P71:Q71)</f>
        <v>0</v>
      </c>
      <c r="S71" s="36"/>
      <c r="T71" s="38">
        <v>781</v>
      </c>
    </row>
    <row r="72" spans="2:20" ht="15.6" x14ac:dyDescent="0.3">
      <c r="B72" s="30">
        <f t="shared" si="18"/>
        <v>7</v>
      </c>
      <c r="C72" s="30" t="s">
        <v>106</v>
      </c>
      <c r="D72" s="31" t="s">
        <v>107</v>
      </c>
      <c r="E72" s="32">
        <v>45473</v>
      </c>
      <c r="F72" s="33">
        <v>275</v>
      </c>
      <c r="G72" s="34">
        <v>10</v>
      </c>
      <c r="H72" s="35">
        <f t="shared" si="15"/>
        <v>27.5</v>
      </c>
      <c r="I72" s="33">
        <v>291.17537600000003</v>
      </c>
      <c r="J72" s="33">
        <v>475.56802099999999</v>
      </c>
      <c r="K72" s="33">
        <v>108.428213</v>
      </c>
      <c r="L72" s="33">
        <v>12.306844</v>
      </c>
      <c r="M72" s="33">
        <v>43.561591</v>
      </c>
      <c r="N72" s="35">
        <f t="shared" si="16"/>
        <v>12.93619</v>
      </c>
      <c r="O72" s="33">
        <v>30.625401</v>
      </c>
      <c r="P72" s="36">
        <v>0</v>
      </c>
      <c r="Q72" s="36">
        <v>0</v>
      </c>
      <c r="R72" s="37">
        <f t="shared" si="17"/>
        <v>0</v>
      </c>
      <c r="S72" s="36"/>
      <c r="T72" s="38">
        <v>2698</v>
      </c>
    </row>
    <row r="73" spans="2:20" ht="15.6" x14ac:dyDescent="0.3">
      <c r="B73" s="30">
        <f t="shared" si="18"/>
        <v>8</v>
      </c>
      <c r="C73" s="54" t="s">
        <v>108</v>
      </c>
      <c r="D73" s="31" t="s">
        <v>109</v>
      </c>
      <c r="E73" s="32">
        <v>45657</v>
      </c>
      <c r="F73" s="33">
        <v>4812.8710000000001</v>
      </c>
      <c r="G73" s="34">
        <v>10</v>
      </c>
      <c r="H73" s="35">
        <f>+F73/G73</f>
        <v>481.28710000000001</v>
      </c>
      <c r="I73" s="33">
        <v>33372.205999999998</v>
      </c>
      <c r="J73" s="33">
        <v>40251.423000000003</v>
      </c>
      <c r="K73" s="33">
        <v>14414.78</v>
      </c>
      <c r="L73" s="33">
        <v>2.8530000000000002</v>
      </c>
      <c r="M73" s="33">
        <v>13092.111000000001</v>
      </c>
      <c r="N73" s="35">
        <f>+M73-O73</f>
        <v>3237.7200000000012</v>
      </c>
      <c r="O73" s="33">
        <v>9854.3909999999996</v>
      </c>
      <c r="P73" s="36">
        <f>50+30+25</f>
        <v>105</v>
      </c>
      <c r="Q73" s="36">
        <v>0</v>
      </c>
      <c r="R73" s="37">
        <f>SUM(P73:Q73)</f>
        <v>105</v>
      </c>
      <c r="S73" s="36"/>
      <c r="T73" s="38">
        <v>3666</v>
      </c>
    </row>
    <row r="74" spans="2:20" ht="15.6" x14ac:dyDescent="0.3">
      <c r="B74" s="30">
        <f t="shared" si="18"/>
        <v>9</v>
      </c>
      <c r="C74" s="54" t="s">
        <v>110</v>
      </c>
      <c r="D74" s="31" t="s">
        <v>111</v>
      </c>
      <c r="E74" s="32">
        <v>45657</v>
      </c>
      <c r="F74" s="33">
        <v>592.99809000000005</v>
      </c>
      <c r="G74" s="34">
        <v>10</v>
      </c>
      <c r="H74" s="35">
        <f>+F74/G74</f>
        <v>59.299809000000003</v>
      </c>
      <c r="I74" s="33">
        <v>7121.6469999999999</v>
      </c>
      <c r="J74" s="33">
        <v>7849.1289999999999</v>
      </c>
      <c r="K74" s="33">
        <v>2050.1559999999999</v>
      </c>
      <c r="L74" s="33">
        <v>1.1220000000000001</v>
      </c>
      <c r="M74" s="33">
        <f>3177.406-14.21</f>
        <v>3163.1959999999999</v>
      </c>
      <c r="N74" s="35">
        <f>+M74-O74</f>
        <v>123.22800000000007</v>
      </c>
      <c r="O74" s="33">
        <v>3039.9679999999998</v>
      </c>
      <c r="P74" s="36">
        <f>30+50</f>
        <v>80</v>
      </c>
      <c r="Q74" s="36">
        <v>0</v>
      </c>
      <c r="R74" s="37">
        <f>SUM(P74:Q74)</f>
        <v>80</v>
      </c>
      <c r="S74" s="36"/>
      <c r="T74" s="38">
        <v>5484</v>
      </c>
    </row>
    <row r="75" spans="2:20" ht="15.6" x14ac:dyDescent="0.3">
      <c r="B75" s="30">
        <f>+B74+1</f>
        <v>10</v>
      </c>
      <c r="C75" s="30" t="s">
        <v>112</v>
      </c>
      <c r="D75" s="31" t="s">
        <v>113</v>
      </c>
      <c r="E75" s="32">
        <v>45657</v>
      </c>
      <c r="F75" s="33">
        <v>1287.5102400000001</v>
      </c>
      <c r="G75" s="34">
        <v>10</v>
      </c>
      <c r="H75" s="35">
        <f t="shared" si="15"/>
        <v>128.751024</v>
      </c>
      <c r="I75" s="33">
        <v>1608.815116</v>
      </c>
      <c r="J75" s="33">
        <v>3974.6205100000002</v>
      </c>
      <c r="K75" s="33">
        <v>1236.8265220000001</v>
      </c>
      <c r="L75" s="33">
        <v>134.12808699999999</v>
      </c>
      <c r="M75" s="33">
        <v>543.82327999999995</v>
      </c>
      <c r="N75" s="35">
        <f>+M75-O75</f>
        <v>61.571991999999966</v>
      </c>
      <c r="O75" s="33">
        <v>482.25128799999999</v>
      </c>
      <c r="P75" s="36">
        <v>0</v>
      </c>
      <c r="Q75" s="36">
        <v>0</v>
      </c>
      <c r="R75" s="37">
        <f t="shared" si="17"/>
        <v>0</v>
      </c>
      <c r="S75" s="36"/>
      <c r="T75" s="38">
        <v>2611</v>
      </c>
    </row>
    <row r="76" spans="2:20" ht="15.6" x14ac:dyDescent="0.3">
      <c r="B76" s="30">
        <f t="shared" si="18"/>
        <v>11</v>
      </c>
      <c r="C76" s="30" t="s">
        <v>114</v>
      </c>
      <c r="D76" s="31" t="s">
        <v>115</v>
      </c>
      <c r="E76" s="32">
        <v>45473</v>
      </c>
      <c r="F76" s="33">
        <v>1356</v>
      </c>
      <c r="G76" s="34">
        <v>10</v>
      </c>
      <c r="H76" s="35">
        <f t="shared" si="15"/>
        <v>135.6</v>
      </c>
      <c r="I76" s="33">
        <v>570.98761400000001</v>
      </c>
      <c r="J76" s="33">
        <v>726.05625799999996</v>
      </c>
      <c r="K76" s="33">
        <v>136.49267599999999</v>
      </c>
      <c r="L76" s="33">
        <v>6.551876</v>
      </c>
      <c r="M76" s="33">
        <v>-25.706002000000002</v>
      </c>
      <c r="N76" s="35">
        <f t="shared" si="16"/>
        <v>-2.6080940000000012</v>
      </c>
      <c r="O76" s="33">
        <v>-23.097908</v>
      </c>
      <c r="P76" s="36">
        <v>0</v>
      </c>
      <c r="Q76" s="36">
        <v>0</v>
      </c>
      <c r="R76" s="37">
        <f t="shared" si="17"/>
        <v>0</v>
      </c>
      <c r="S76" s="36"/>
      <c r="T76" s="38">
        <v>936</v>
      </c>
    </row>
    <row r="77" spans="2:20" ht="15.6" x14ac:dyDescent="0.3">
      <c r="B77" s="30">
        <f t="shared" si="18"/>
        <v>12</v>
      </c>
      <c r="C77" s="30" t="s">
        <v>116</v>
      </c>
      <c r="D77" s="31" t="s">
        <v>117</v>
      </c>
      <c r="E77" s="32">
        <v>45473</v>
      </c>
      <c r="F77" s="33">
        <v>650</v>
      </c>
      <c r="G77" s="34">
        <v>10</v>
      </c>
      <c r="H77" s="35">
        <f t="shared" si="15"/>
        <v>65</v>
      </c>
      <c r="I77" s="33">
        <v>786.86732199999994</v>
      </c>
      <c r="J77" s="33">
        <v>3955.9378360000001</v>
      </c>
      <c r="K77" s="33">
        <v>448.89039300000002</v>
      </c>
      <c r="L77" s="33">
        <v>329.84600599999999</v>
      </c>
      <c r="M77" s="33">
        <v>41.730052000000001</v>
      </c>
      <c r="N77" s="35">
        <f t="shared" si="16"/>
        <v>10.033764000000001</v>
      </c>
      <c r="O77" s="33">
        <v>31.696287999999999</v>
      </c>
      <c r="P77" s="36">
        <v>0</v>
      </c>
      <c r="Q77" s="36">
        <v>0</v>
      </c>
      <c r="R77" s="37">
        <f t="shared" si="17"/>
        <v>0</v>
      </c>
      <c r="S77" s="36"/>
      <c r="T77" s="38">
        <v>1030</v>
      </c>
    </row>
    <row r="78" spans="2:20" ht="15.6" x14ac:dyDescent="0.3">
      <c r="B78" s="30">
        <f t="shared" si="18"/>
        <v>13</v>
      </c>
      <c r="C78" s="30" t="s">
        <v>118</v>
      </c>
      <c r="D78" s="31" t="s">
        <v>119</v>
      </c>
      <c r="E78" s="32">
        <v>45473</v>
      </c>
      <c r="F78" s="33">
        <v>3166.10115</v>
      </c>
      <c r="G78" s="34">
        <v>10</v>
      </c>
      <c r="H78" s="35">
        <f t="shared" si="15"/>
        <v>316.61011500000001</v>
      </c>
      <c r="I78" s="33">
        <v>1813.139987</v>
      </c>
      <c r="J78" s="33">
        <f>5051.224579+107.797496</f>
        <v>5159.0220749999999</v>
      </c>
      <c r="K78" s="33">
        <v>294.81398300000001</v>
      </c>
      <c r="L78" s="33">
        <v>440.42419899999999</v>
      </c>
      <c r="M78" s="33">
        <v>-160.972306</v>
      </c>
      <c r="N78" s="35">
        <f t="shared" si="16"/>
        <v>-1.6665059999999983</v>
      </c>
      <c r="O78" s="33">
        <v>-159.3058</v>
      </c>
      <c r="P78" s="36">
        <v>0</v>
      </c>
      <c r="Q78" s="36">
        <v>0</v>
      </c>
      <c r="R78" s="37">
        <f t="shared" si="17"/>
        <v>0</v>
      </c>
      <c r="S78" s="36"/>
      <c r="T78" s="38">
        <v>3919</v>
      </c>
    </row>
    <row r="79" spans="2:20" ht="15.6" x14ac:dyDescent="0.3">
      <c r="B79" s="30">
        <f t="shared" si="18"/>
        <v>14</v>
      </c>
      <c r="C79" s="30" t="s">
        <v>120</v>
      </c>
      <c r="D79" s="31" t="s">
        <v>121</v>
      </c>
      <c r="E79" s="32">
        <v>45473</v>
      </c>
      <c r="F79" s="33">
        <v>1483.90023</v>
      </c>
      <c r="G79" s="34">
        <v>10</v>
      </c>
      <c r="H79" s="35">
        <f t="shared" si="15"/>
        <v>148.39002299999999</v>
      </c>
      <c r="I79" s="33">
        <v>656.47372800000005</v>
      </c>
      <c r="J79" s="33">
        <v>970.91452200000003</v>
      </c>
      <c r="K79" s="33">
        <v>68.343408999999994</v>
      </c>
      <c r="L79" s="33">
        <v>7.7790000000000003E-3</v>
      </c>
      <c r="M79" s="33">
        <v>83.952698999999996</v>
      </c>
      <c r="N79" s="35">
        <f t="shared" si="16"/>
        <v>77.251628999999994</v>
      </c>
      <c r="O79" s="33">
        <v>6.7010699999999996</v>
      </c>
      <c r="P79" s="36">
        <v>0</v>
      </c>
      <c r="Q79" s="36">
        <v>0</v>
      </c>
      <c r="R79" s="37">
        <f t="shared" si="17"/>
        <v>0</v>
      </c>
      <c r="S79" s="36"/>
      <c r="T79" s="38">
        <v>3573</v>
      </c>
    </row>
    <row r="80" spans="2:20" ht="15.6" x14ac:dyDescent="0.3">
      <c r="B80" s="30">
        <f t="shared" si="18"/>
        <v>15</v>
      </c>
      <c r="C80" s="30" t="s">
        <v>122</v>
      </c>
      <c r="D80" s="31" t="s">
        <v>123</v>
      </c>
      <c r="E80" s="32">
        <v>45473</v>
      </c>
      <c r="F80" s="33">
        <v>2672.8633100000002</v>
      </c>
      <c r="G80" s="34">
        <v>10</v>
      </c>
      <c r="H80" s="35">
        <f t="shared" si="15"/>
        <v>267.28633100000002</v>
      </c>
      <c r="I80" s="33">
        <v>1145.65833</v>
      </c>
      <c r="J80" s="33">
        <v>1854.0675309999999</v>
      </c>
      <c r="K80" s="33">
        <v>23.479296000000001</v>
      </c>
      <c r="L80" s="33">
        <v>24.061319999999998</v>
      </c>
      <c r="M80" s="33">
        <v>-51.195042000000001</v>
      </c>
      <c r="N80" s="35">
        <f t="shared" si="16"/>
        <v>0.27761900000000139</v>
      </c>
      <c r="O80" s="33">
        <v>-51.472661000000002</v>
      </c>
      <c r="P80" s="36">
        <v>0</v>
      </c>
      <c r="Q80" s="36">
        <v>0</v>
      </c>
      <c r="R80" s="37">
        <f t="shared" si="17"/>
        <v>0</v>
      </c>
      <c r="S80" s="36"/>
      <c r="T80" s="38">
        <v>3211</v>
      </c>
    </row>
    <row r="81" spans="2:20" ht="15.6" x14ac:dyDescent="0.3">
      <c r="B81" s="30">
        <f t="shared" si="18"/>
        <v>16</v>
      </c>
      <c r="C81" s="30" t="s">
        <v>124</v>
      </c>
      <c r="D81" s="31" t="s">
        <v>125</v>
      </c>
      <c r="E81" s="32">
        <v>45565</v>
      </c>
      <c r="F81" s="33">
        <v>990.2</v>
      </c>
      <c r="G81" s="34">
        <v>10</v>
      </c>
      <c r="H81" s="35">
        <f>+F81/G81</f>
        <v>99.02000000000001</v>
      </c>
      <c r="I81" s="33">
        <v>10339.109</v>
      </c>
      <c r="J81" s="33">
        <v>12785.746999999999</v>
      </c>
      <c r="K81" s="33">
        <v>381.53</v>
      </c>
      <c r="L81" s="33">
        <v>0.24399999999999999</v>
      </c>
      <c r="M81" s="33">
        <v>112.43300000000001</v>
      </c>
      <c r="N81" s="35">
        <f>+M81-O81</f>
        <v>33.473000000000013</v>
      </c>
      <c r="O81" s="33">
        <v>78.959999999999994</v>
      </c>
      <c r="P81" s="36">
        <v>0</v>
      </c>
      <c r="Q81" s="36">
        <v>0</v>
      </c>
      <c r="R81" s="37">
        <f>SUM(P81:Q81)</f>
        <v>0</v>
      </c>
      <c r="S81" s="36"/>
      <c r="T81" s="38">
        <v>1701</v>
      </c>
    </row>
    <row r="82" spans="2:20" ht="15.6" x14ac:dyDescent="0.3">
      <c r="B82" s="30">
        <f t="shared" si="18"/>
        <v>17</v>
      </c>
      <c r="C82" s="30" t="s">
        <v>126</v>
      </c>
      <c r="D82" s="31" t="s">
        <v>127</v>
      </c>
      <c r="E82" s="32">
        <v>45473</v>
      </c>
      <c r="F82" s="33">
        <v>2848.66896</v>
      </c>
      <c r="G82" s="34">
        <v>10</v>
      </c>
      <c r="H82" s="35">
        <f t="shared" si="15"/>
        <v>284.866896</v>
      </c>
      <c r="I82" s="33">
        <v>700.499595</v>
      </c>
      <c r="J82" s="33">
        <v>1298.5941620000001</v>
      </c>
      <c r="K82" s="33">
        <v>150.415077</v>
      </c>
      <c r="L82" s="33">
        <v>3.437E-3</v>
      </c>
      <c r="M82" s="33">
        <v>145.97781699999999</v>
      </c>
      <c r="N82" s="35">
        <f t="shared" si="16"/>
        <v>21.35834899999999</v>
      </c>
      <c r="O82" s="33">
        <v>124.619468</v>
      </c>
      <c r="P82" s="36">
        <v>0</v>
      </c>
      <c r="Q82" s="36">
        <v>0</v>
      </c>
      <c r="R82" s="37">
        <f t="shared" si="17"/>
        <v>0</v>
      </c>
      <c r="S82" s="36"/>
      <c r="T82" s="38">
        <v>9562</v>
      </c>
    </row>
    <row r="83" spans="2:20" ht="15.6" x14ac:dyDescent="0.3">
      <c r="B83" s="30">
        <f t="shared" si="18"/>
        <v>18</v>
      </c>
      <c r="C83" s="30" t="s">
        <v>128</v>
      </c>
      <c r="D83" s="31" t="s">
        <v>129</v>
      </c>
      <c r="E83" s="32">
        <v>45657</v>
      </c>
      <c r="F83" s="33">
        <v>9159.4238800000003</v>
      </c>
      <c r="G83" s="34">
        <v>10</v>
      </c>
      <c r="H83" s="35">
        <f t="shared" si="15"/>
        <v>915.94238800000005</v>
      </c>
      <c r="I83" s="33">
        <v>32841.163</v>
      </c>
      <c r="J83" s="33">
        <v>34269.989000000001</v>
      </c>
      <c r="K83" s="33">
        <v>1090.1389999999999</v>
      </c>
      <c r="L83" s="33">
        <v>43.783000000000001</v>
      </c>
      <c r="M83" s="33">
        <v>394.74099999999999</v>
      </c>
      <c r="N83" s="35">
        <f t="shared" si="16"/>
        <v>-2.4000000000000341</v>
      </c>
      <c r="O83" s="33">
        <v>397.14100000000002</v>
      </c>
      <c r="P83" s="36">
        <v>0</v>
      </c>
      <c r="Q83" s="36">
        <v>0</v>
      </c>
      <c r="R83" s="37">
        <f t="shared" si="17"/>
        <v>0</v>
      </c>
      <c r="S83" s="36"/>
      <c r="T83" s="38">
        <v>5720</v>
      </c>
    </row>
    <row r="84" spans="2:20" ht="15.6" x14ac:dyDescent="0.3">
      <c r="B84" s="30"/>
      <c r="C84" s="30" t="s">
        <v>130</v>
      </c>
      <c r="D84" s="31" t="s">
        <v>131</v>
      </c>
      <c r="E84" s="32">
        <v>45657</v>
      </c>
      <c r="F84" s="33">
        <v>1831.88</v>
      </c>
      <c r="G84" s="34">
        <v>10</v>
      </c>
      <c r="H84" s="35">
        <f t="shared" si="15"/>
        <v>183.18800000000002</v>
      </c>
      <c r="I84" s="33"/>
      <c r="J84" s="33"/>
      <c r="K84" s="33"/>
      <c r="L84" s="33"/>
      <c r="M84" s="33"/>
      <c r="N84" s="35">
        <f t="shared" si="16"/>
        <v>0</v>
      </c>
      <c r="O84" s="33"/>
      <c r="P84" s="36">
        <v>6</v>
      </c>
      <c r="Q84" s="36">
        <v>0</v>
      </c>
      <c r="R84" s="37">
        <f t="shared" ref="R84" si="19">SUM(P84:Q84)</f>
        <v>6</v>
      </c>
      <c r="S84" s="36"/>
      <c r="T84" s="38"/>
    </row>
    <row r="85" spans="2:20" ht="15.6" x14ac:dyDescent="0.3">
      <c r="B85" s="30">
        <f>+B83+1</f>
        <v>19</v>
      </c>
      <c r="C85" s="30" t="s">
        <v>132</v>
      </c>
      <c r="D85" s="31" t="s">
        <v>133</v>
      </c>
      <c r="E85" s="32">
        <v>45657</v>
      </c>
      <c r="F85" s="33">
        <v>274.77296999999999</v>
      </c>
      <c r="G85" s="34">
        <v>10</v>
      </c>
      <c r="H85" s="35">
        <f t="shared" si="15"/>
        <v>27.477297</v>
      </c>
      <c r="I85" s="33">
        <v>2945.2440059999999</v>
      </c>
      <c r="J85" s="33">
        <v>9283.4023730000008</v>
      </c>
      <c r="K85" s="33">
        <v>1642.2496510000001</v>
      </c>
      <c r="L85" s="33">
        <v>101.682295</v>
      </c>
      <c r="M85" s="33">
        <v>517.51673300000004</v>
      </c>
      <c r="N85" s="35">
        <f t="shared" si="16"/>
        <v>62.961076000000048</v>
      </c>
      <c r="O85" s="33">
        <v>454.555657</v>
      </c>
      <c r="P85" s="36">
        <v>0</v>
      </c>
      <c r="Q85" s="36">
        <v>0</v>
      </c>
      <c r="R85" s="37">
        <f t="shared" si="17"/>
        <v>0</v>
      </c>
      <c r="S85" s="36"/>
      <c r="T85" s="38">
        <v>878</v>
      </c>
    </row>
    <row r="86" spans="2:20" ht="15.6" x14ac:dyDescent="0.3">
      <c r="B86" s="30">
        <f t="shared" si="18"/>
        <v>20</v>
      </c>
      <c r="C86" s="30" t="s">
        <v>134</v>
      </c>
      <c r="D86" s="31" t="s">
        <v>135</v>
      </c>
      <c r="E86" s="32">
        <v>45657</v>
      </c>
      <c r="F86" s="33">
        <v>617.48126999999999</v>
      </c>
      <c r="G86" s="34">
        <v>10</v>
      </c>
      <c r="H86" s="35">
        <f t="shared" si="15"/>
        <v>61.748126999999997</v>
      </c>
      <c r="I86" s="33">
        <v>2111.5860739999998</v>
      </c>
      <c r="J86" s="33">
        <v>3581.2167020000002</v>
      </c>
      <c r="K86" s="33">
        <v>567.85968400000002</v>
      </c>
      <c r="L86" s="33">
        <v>31.730685000000001</v>
      </c>
      <c r="M86" s="33">
        <v>463.73714799999999</v>
      </c>
      <c r="N86" s="35">
        <f t="shared" si="16"/>
        <v>14.814120000000003</v>
      </c>
      <c r="O86" s="33">
        <v>448.92302799999999</v>
      </c>
      <c r="P86" s="36">
        <v>0</v>
      </c>
      <c r="Q86" s="36">
        <v>0</v>
      </c>
      <c r="R86" s="37">
        <f t="shared" si="17"/>
        <v>0</v>
      </c>
      <c r="S86" s="36"/>
      <c r="T86" s="38">
        <v>1377</v>
      </c>
    </row>
    <row r="87" spans="2:20" ht="15.6" x14ac:dyDescent="0.3">
      <c r="B87" s="30">
        <f t="shared" si="18"/>
        <v>21</v>
      </c>
      <c r="C87" s="30" t="s">
        <v>136</v>
      </c>
      <c r="D87" s="31" t="s">
        <v>137</v>
      </c>
      <c r="E87" s="32">
        <v>45473</v>
      </c>
      <c r="F87" s="33">
        <v>1811.5340000000001</v>
      </c>
      <c r="G87" s="34">
        <v>10</v>
      </c>
      <c r="H87" s="35">
        <f t="shared" si="15"/>
        <v>181.1534</v>
      </c>
      <c r="I87" s="33">
        <v>2970.87</v>
      </c>
      <c r="J87" s="33">
        <v>3591.23</v>
      </c>
      <c r="K87" s="33">
        <v>35.191000000000003</v>
      </c>
      <c r="L87" s="33">
        <v>19.887</v>
      </c>
      <c r="M87" s="33">
        <v>68.86</v>
      </c>
      <c r="N87" s="35">
        <f t="shared" si="16"/>
        <v>-52.144999999999996</v>
      </c>
      <c r="O87" s="33">
        <v>121.005</v>
      </c>
      <c r="P87" s="36">
        <v>5</v>
      </c>
      <c r="Q87" s="36">
        <v>0</v>
      </c>
      <c r="R87" s="37">
        <f t="shared" si="17"/>
        <v>5</v>
      </c>
      <c r="S87" s="36"/>
      <c r="T87" s="38">
        <v>5061</v>
      </c>
    </row>
    <row r="88" spans="2:20" ht="15.6" x14ac:dyDescent="0.3">
      <c r="B88" s="30">
        <f t="shared" si="18"/>
        <v>22</v>
      </c>
      <c r="C88" s="30" t="s">
        <v>138</v>
      </c>
      <c r="D88" s="31" t="s">
        <v>139</v>
      </c>
      <c r="E88" s="32">
        <v>45473</v>
      </c>
      <c r="F88" s="33">
        <v>356.77578</v>
      </c>
      <c r="G88" s="34">
        <v>10</v>
      </c>
      <c r="H88" s="35">
        <f t="shared" si="15"/>
        <v>35.677577999999997</v>
      </c>
      <c r="I88" s="33">
        <v>453.73500000000001</v>
      </c>
      <c r="J88" s="33">
        <v>544.41399999999999</v>
      </c>
      <c r="K88" s="33">
        <v>39.347999999999999</v>
      </c>
      <c r="L88" s="33">
        <v>5.8710000000000004</v>
      </c>
      <c r="M88" s="33">
        <v>75.769000000000005</v>
      </c>
      <c r="N88" s="35">
        <f t="shared" si="16"/>
        <v>14.501000000000005</v>
      </c>
      <c r="O88" s="33">
        <v>61.268000000000001</v>
      </c>
      <c r="P88" s="36">
        <v>5</v>
      </c>
      <c r="Q88" s="36">
        <v>0</v>
      </c>
      <c r="R88" s="37">
        <f t="shared" si="17"/>
        <v>5</v>
      </c>
      <c r="S88" s="36"/>
      <c r="T88" s="38">
        <v>2993</v>
      </c>
    </row>
    <row r="89" spans="2:20" ht="15.6" x14ac:dyDescent="0.3">
      <c r="B89" s="30">
        <f t="shared" si="18"/>
        <v>23</v>
      </c>
      <c r="C89" s="30" t="s">
        <v>140</v>
      </c>
      <c r="D89" s="31" t="s">
        <v>141</v>
      </c>
      <c r="E89" s="32">
        <v>45473</v>
      </c>
      <c r="F89" s="33">
        <v>1795.9788000000001</v>
      </c>
      <c r="G89" s="34">
        <v>10</v>
      </c>
      <c r="H89" s="35">
        <f t="shared" si="15"/>
        <v>179.59788</v>
      </c>
      <c r="I89" s="33">
        <v>2442.1489999999999</v>
      </c>
      <c r="J89" s="33">
        <v>2857.02</v>
      </c>
      <c r="K89" s="33">
        <v>285.58199999999999</v>
      </c>
      <c r="L89" s="33">
        <v>6.8090000000000002</v>
      </c>
      <c r="M89" s="33">
        <v>273.98099999999999</v>
      </c>
      <c r="N89" s="35">
        <f t="shared" si="16"/>
        <v>86.875</v>
      </c>
      <c r="O89" s="33">
        <v>187.10599999999999</v>
      </c>
      <c r="P89" s="36">
        <v>10</v>
      </c>
      <c r="Q89" s="36">
        <v>0</v>
      </c>
      <c r="R89" s="37">
        <f t="shared" si="17"/>
        <v>10</v>
      </c>
      <c r="S89" s="36"/>
      <c r="T89" s="38">
        <v>1357</v>
      </c>
    </row>
    <row r="90" spans="2:20" ht="15.6" x14ac:dyDescent="0.3">
      <c r="B90" s="30">
        <f t="shared" si="18"/>
        <v>24</v>
      </c>
      <c r="C90" s="30" t="s">
        <v>142</v>
      </c>
      <c r="D90" s="31" t="s">
        <v>143</v>
      </c>
      <c r="E90" s="32">
        <v>45473</v>
      </c>
      <c r="F90" s="33">
        <v>720</v>
      </c>
      <c r="G90" s="34">
        <v>10</v>
      </c>
      <c r="H90" s="35">
        <f t="shared" si="15"/>
        <v>72</v>
      </c>
      <c r="I90" s="33">
        <v>1954.011796</v>
      </c>
      <c r="J90" s="33">
        <v>3267.7311199999999</v>
      </c>
      <c r="K90" s="33">
        <v>1841.337888</v>
      </c>
      <c r="L90" s="33">
        <v>18.115316</v>
      </c>
      <c r="M90" s="33">
        <v>1271.494346</v>
      </c>
      <c r="N90" s="35">
        <f t="shared" si="16"/>
        <v>410.19196999999997</v>
      </c>
      <c r="O90" s="33">
        <v>861.30237599999998</v>
      </c>
      <c r="P90" s="36">
        <f>35+25</f>
        <v>60</v>
      </c>
      <c r="Q90" s="36">
        <v>0</v>
      </c>
      <c r="R90" s="37">
        <f t="shared" si="17"/>
        <v>60</v>
      </c>
      <c r="S90" s="36"/>
      <c r="T90" s="38">
        <v>931</v>
      </c>
    </row>
    <row r="91" spans="2:20" ht="15.6" x14ac:dyDescent="0.3">
      <c r="B91" s="30">
        <f t="shared" si="18"/>
        <v>25</v>
      </c>
      <c r="C91" s="30" t="s">
        <v>144</v>
      </c>
      <c r="D91" s="31" t="s">
        <v>145</v>
      </c>
      <c r="E91" s="32">
        <v>45473</v>
      </c>
      <c r="F91" s="33">
        <v>569.25</v>
      </c>
      <c r="G91" s="34">
        <v>10</v>
      </c>
      <c r="H91" s="35">
        <f t="shared" si="15"/>
        <v>56.924999999999997</v>
      </c>
      <c r="I91" s="33">
        <v>406.31999000000002</v>
      </c>
      <c r="J91" s="33">
        <v>865.92275299999994</v>
      </c>
      <c r="K91" s="33">
        <f>166.552642+47.35737</f>
        <v>213.91001199999999</v>
      </c>
      <c r="L91" s="33">
        <v>36.263241000000001</v>
      </c>
      <c r="M91" s="33">
        <v>-21.877367</v>
      </c>
      <c r="N91" s="35">
        <f t="shared" si="16"/>
        <v>-0.15073500000000095</v>
      </c>
      <c r="O91" s="33">
        <v>-21.726631999999999</v>
      </c>
      <c r="P91" s="36">
        <v>0</v>
      </c>
      <c r="Q91" s="36">
        <v>0</v>
      </c>
      <c r="R91" s="37">
        <f t="shared" si="17"/>
        <v>0</v>
      </c>
      <c r="S91" s="36"/>
      <c r="T91" s="38">
        <v>793</v>
      </c>
    </row>
    <row r="92" spans="2:20" ht="15.6" x14ac:dyDescent="0.3">
      <c r="B92" s="30">
        <f t="shared" si="18"/>
        <v>26</v>
      </c>
      <c r="C92" s="30" t="s">
        <v>146</v>
      </c>
      <c r="D92" s="31" t="s">
        <v>147</v>
      </c>
      <c r="E92" s="32">
        <v>45473</v>
      </c>
      <c r="F92" s="33">
        <v>1754.07647</v>
      </c>
      <c r="G92" s="34">
        <v>10</v>
      </c>
      <c r="H92" s="35">
        <f>+F92/G92</f>
        <v>175.407647</v>
      </c>
      <c r="I92" s="33">
        <v>10470.536842</v>
      </c>
      <c r="J92" s="33">
        <v>31953.884787999999</v>
      </c>
      <c r="K92" s="33">
        <v>6884.7594079999999</v>
      </c>
      <c r="L92" s="33">
        <v>3876.1031090000001</v>
      </c>
      <c r="M92" s="33">
        <v>2290.853975</v>
      </c>
      <c r="N92" s="35">
        <f>+M92-O92</f>
        <v>897.94325299999991</v>
      </c>
      <c r="O92" s="33">
        <v>1392.9107220000001</v>
      </c>
      <c r="P92" s="36">
        <f>20+30</f>
        <v>50</v>
      </c>
      <c r="Q92" s="36">
        <v>0</v>
      </c>
      <c r="R92" s="37">
        <f>SUM(P92:Q92)</f>
        <v>50</v>
      </c>
      <c r="S92" s="36"/>
      <c r="T92" s="38">
        <v>3436</v>
      </c>
    </row>
    <row r="93" spans="2:20" ht="15.6" x14ac:dyDescent="0.3">
      <c r="B93" s="30">
        <f t="shared" si="18"/>
        <v>27</v>
      </c>
      <c r="C93" s="30" t="s">
        <v>148</v>
      </c>
      <c r="D93" s="31" t="s">
        <v>149</v>
      </c>
      <c r="E93" s="32">
        <v>45657</v>
      </c>
      <c r="F93" s="33"/>
      <c r="G93" s="34">
        <v>10</v>
      </c>
      <c r="H93" s="35">
        <f t="shared" ref="H93" si="20">+F93/G93</f>
        <v>0</v>
      </c>
      <c r="I93" s="33"/>
      <c r="J93" s="33"/>
      <c r="K93" s="33"/>
      <c r="L93" s="33"/>
      <c r="M93" s="33"/>
      <c r="N93" s="35">
        <f t="shared" ref="N93" si="21">+M93-O93</f>
        <v>0</v>
      </c>
      <c r="O93" s="33"/>
      <c r="P93" s="36"/>
      <c r="Q93" s="36"/>
      <c r="R93" s="37">
        <f t="shared" ref="R93" si="22">SUM(P93:Q93)</f>
        <v>0</v>
      </c>
      <c r="S93" s="36"/>
      <c r="T93" s="38"/>
    </row>
    <row r="94" spans="2:20" ht="15.6" x14ac:dyDescent="0.3">
      <c r="B94" s="30">
        <f t="shared" si="18"/>
        <v>28</v>
      </c>
      <c r="C94" s="30" t="s">
        <v>150</v>
      </c>
      <c r="D94" s="31" t="s">
        <v>151</v>
      </c>
      <c r="E94" s="32">
        <v>45473</v>
      </c>
      <c r="F94" s="33">
        <v>8014.7659999999996</v>
      </c>
      <c r="G94" s="34">
        <v>10</v>
      </c>
      <c r="H94" s="35">
        <f t="shared" si="15"/>
        <v>801.47659999999996</v>
      </c>
      <c r="I94" s="33">
        <v>11439.18</v>
      </c>
      <c r="J94" s="33">
        <v>14189.076999999999</v>
      </c>
      <c r="K94" s="33">
        <v>2116.62</v>
      </c>
      <c r="L94" s="33">
        <v>0</v>
      </c>
      <c r="M94" s="33">
        <v>1046.0809999999999</v>
      </c>
      <c r="N94" s="35">
        <f t="shared" si="16"/>
        <v>18.277999999999793</v>
      </c>
      <c r="O94" s="33">
        <v>1027.8030000000001</v>
      </c>
      <c r="P94" s="36">
        <v>10</v>
      </c>
      <c r="Q94" s="36">
        <v>0</v>
      </c>
      <c r="R94" s="37">
        <f t="shared" si="17"/>
        <v>10</v>
      </c>
      <c r="S94" s="36"/>
      <c r="T94" s="38">
        <v>2786</v>
      </c>
    </row>
    <row r="95" spans="2:20" ht="15.6" x14ac:dyDescent="0.3">
      <c r="B95" s="30">
        <f t="shared" si="18"/>
        <v>29</v>
      </c>
      <c r="C95" s="30" t="s">
        <v>152</v>
      </c>
      <c r="D95" s="31" t="s">
        <v>153</v>
      </c>
      <c r="E95" s="32">
        <v>45657</v>
      </c>
      <c r="F95" s="33">
        <v>591.48591699999997</v>
      </c>
      <c r="G95" s="34">
        <v>10</v>
      </c>
      <c r="H95" s="35">
        <f t="shared" si="15"/>
        <v>59.148591699999997</v>
      </c>
      <c r="I95" s="33">
        <v>839.49935200000004</v>
      </c>
      <c r="J95" s="33">
        <v>916.642696</v>
      </c>
      <c r="K95" s="33">
        <v>139.25792100000001</v>
      </c>
      <c r="L95" s="33">
        <v>0</v>
      </c>
      <c r="M95" s="33">
        <v>88.274496999999997</v>
      </c>
      <c r="N95" s="35">
        <f t="shared" si="16"/>
        <v>10.845880999999991</v>
      </c>
      <c r="O95" s="33">
        <v>77.428616000000005</v>
      </c>
      <c r="P95" s="36">
        <v>15</v>
      </c>
      <c r="Q95" s="36">
        <v>0</v>
      </c>
      <c r="R95" s="37">
        <f t="shared" si="17"/>
        <v>15</v>
      </c>
      <c r="S95" s="36"/>
      <c r="T95" s="38">
        <v>2239</v>
      </c>
    </row>
    <row r="96" spans="2:20" ht="15.6" x14ac:dyDescent="0.3">
      <c r="B96" s="30">
        <f t="shared" si="18"/>
        <v>30</v>
      </c>
      <c r="C96" s="30" t="s">
        <v>154</v>
      </c>
      <c r="D96" s="31" t="s">
        <v>155</v>
      </c>
      <c r="E96" s="32">
        <v>45473</v>
      </c>
      <c r="F96" s="33">
        <v>300</v>
      </c>
      <c r="G96" s="34">
        <v>10</v>
      </c>
      <c r="H96" s="35">
        <f t="shared" si="15"/>
        <v>30</v>
      </c>
      <c r="I96" s="33">
        <v>363.17546299999998</v>
      </c>
      <c r="J96" s="33">
        <v>707.26624400000003</v>
      </c>
      <c r="K96" s="33">
        <f>211.999401+96.963841+7.29026</f>
        <v>316.25350200000003</v>
      </c>
      <c r="L96" s="33">
        <v>13.507075</v>
      </c>
      <c r="M96" s="33">
        <v>84.017606999999998</v>
      </c>
      <c r="N96" s="35">
        <f t="shared" si="16"/>
        <v>2.0263999999997395E-2</v>
      </c>
      <c r="O96" s="33">
        <v>83.997343000000001</v>
      </c>
      <c r="P96" s="36">
        <v>0</v>
      </c>
      <c r="Q96" s="36">
        <v>0</v>
      </c>
      <c r="R96" s="37">
        <f t="shared" si="17"/>
        <v>0</v>
      </c>
      <c r="S96" s="36"/>
      <c r="T96" s="38">
        <v>825</v>
      </c>
    </row>
    <row r="97" spans="2:20" ht="15.6" x14ac:dyDescent="0.3">
      <c r="B97" s="25"/>
      <c r="C97" s="25"/>
      <c r="D97" s="25"/>
      <c r="E97" s="25"/>
      <c r="F97" s="25"/>
      <c r="G97" s="40"/>
      <c r="H97" s="41"/>
      <c r="I97" s="27"/>
      <c r="J97" s="27"/>
      <c r="K97" s="27"/>
      <c r="L97" s="27"/>
      <c r="M97" s="27"/>
      <c r="N97" s="42"/>
      <c r="O97" s="27"/>
      <c r="P97" s="27"/>
      <c r="Q97" s="27"/>
      <c r="R97" s="42"/>
      <c r="S97" s="27"/>
      <c r="T97" s="27"/>
    </row>
    <row r="98" spans="2:20" ht="18" x14ac:dyDescent="0.35">
      <c r="B98" s="25"/>
      <c r="C98" s="25"/>
      <c r="D98" s="39" t="s">
        <v>1127</v>
      </c>
      <c r="E98" s="25"/>
      <c r="F98" s="25"/>
      <c r="G98" s="40"/>
      <c r="H98" s="41"/>
      <c r="I98" s="27"/>
      <c r="J98" s="27"/>
      <c r="K98" s="27"/>
      <c r="L98" s="27"/>
      <c r="M98" s="27"/>
      <c r="N98" s="42"/>
      <c r="O98" s="27"/>
      <c r="P98" s="27"/>
      <c r="Q98" s="27"/>
      <c r="R98" s="42"/>
      <c r="S98" s="27"/>
      <c r="T98" s="27"/>
    </row>
    <row r="99" spans="2:20" ht="15.6" x14ac:dyDescent="0.3">
      <c r="B99" s="30">
        <v>1</v>
      </c>
      <c r="C99" s="30" t="s">
        <v>156</v>
      </c>
      <c r="D99" s="43" t="s">
        <v>157</v>
      </c>
      <c r="E99" s="32">
        <v>45473</v>
      </c>
      <c r="F99" s="33"/>
      <c r="G99" s="34">
        <v>10</v>
      </c>
      <c r="H99" s="35">
        <f t="shared" ref="H99:H103" si="23">+F99/G99</f>
        <v>0</v>
      </c>
      <c r="I99" s="33"/>
      <c r="J99" s="33"/>
      <c r="K99" s="33"/>
      <c r="L99" s="33"/>
      <c r="M99" s="33"/>
      <c r="N99" s="35">
        <f t="shared" ref="N99:N103" si="24">+M99-O99</f>
        <v>0</v>
      </c>
      <c r="O99" s="33"/>
      <c r="P99" s="36"/>
      <c r="Q99" s="36"/>
      <c r="R99" s="37">
        <f t="shared" ref="R99:R103" si="25">SUM(P99:Q99)</f>
        <v>0</v>
      </c>
      <c r="S99" s="36"/>
      <c r="T99" s="38"/>
    </row>
    <row r="100" spans="2:20" ht="15.6" x14ac:dyDescent="0.3">
      <c r="B100" s="30">
        <f>+B99+1</f>
        <v>2</v>
      </c>
      <c r="C100" s="30" t="s">
        <v>158</v>
      </c>
      <c r="D100" s="31" t="s">
        <v>159</v>
      </c>
      <c r="E100" s="32">
        <v>45473</v>
      </c>
      <c r="F100" s="33">
        <v>1413.355</v>
      </c>
      <c r="G100" s="34">
        <v>10</v>
      </c>
      <c r="H100" s="35">
        <f t="shared" si="23"/>
        <v>141.3355</v>
      </c>
      <c r="I100" s="33">
        <v>352.56584400000003</v>
      </c>
      <c r="J100" s="33">
        <v>1361.8926859999999</v>
      </c>
      <c r="K100" s="33">
        <v>17.246663999999999</v>
      </c>
      <c r="L100" s="33">
        <v>6.5200000000000002E-4</v>
      </c>
      <c r="M100" s="33">
        <f>18.824645-1.025762</f>
        <v>17.798883</v>
      </c>
      <c r="N100" s="35">
        <f t="shared" si="24"/>
        <v>0</v>
      </c>
      <c r="O100" s="33">
        <f>18.824645-1.025762</f>
        <v>17.798883</v>
      </c>
      <c r="P100" s="36">
        <v>0</v>
      </c>
      <c r="Q100" s="36">
        <v>0</v>
      </c>
      <c r="R100" s="37">
        <f t="shared" si="25"/>
        <v>0</v>
      </c>
      <c r="S100" s="36"/>
      <c r="T100" s="38">
        <v>310</v>
      </c>
    </row>
    <row r="101" spans="2:20" ht="15.6" x14ac:dyDescent="0.3">
      <c r="B101" s="30">
        <f>+B100+1</f>
        <v>3</v>
      </c>
      <c r="C101" s="30" t="s">
        <v>160</v>
      </c>
      <c r="D101" s="31" t="s">
        <v>161</v>
      </c>
      <c r="E101" s="32">
        <v>45473</v>
      </c>
      <c r="F101" s="33">
        <v>1865.68487</v>
      </c>
      <c r="G101" s="34">
        <v>10</v>
      </c>
      <c r="H101" s="35">
        <f t="shared" si="23"/>
        <v>186.568487</v>
      </c>
      <c r="I101" s="33">
        <v>-562.27751799999999</v>
      </c>
      <c r="J101" s="33">
        <f>82.275444+3.950545</f>
        <v>86.225988999999998</v>
      </c>
      <c r="K101" s="33">
        <v>0</v>
      </c>
      <c r="L101" s="33">
        <v>0.58462800000000004</v>
      </c>
      <c r="M101" s="33">
        <v>1.158555</v>
      </c>
      <c r="N101" s="35">
        <f t="shared" si="24"/>
        <v>0</v>
      </c>
      <c r="O101" s="33">
        <v>1.158555</v>
      </c>
      <c r="P101" s="36">
        <v>0</v>
      </c>
      <c r="Q101" s="36">
        <v>0</v>
      </c>
      <c r="R101" s="37">
        <f t="shared" si="25"/>
        <v>0</v>
      </c>
      <c r="S101" s="36"/>
      <c r="T101" s="38">
        <v>6416</v>
      </c>
    </row>
    <row r="102" spans="2:20" ht="15.6" x14ac:dyDescent="0.3">
      <c r="B102" s="30">
        <f>+B101+1</f>
        <v>4</v>
      </c>
      <c r="C102" s="30" t="s">
        <v>162</v>
      </c>
      <c r="D102" s="31" t="s">
        <v>163</v>
      </c>
      <c r="E102" s="32">
        <v>45473</v>
      </c>
      <c r="F102" s="33"/>
      <c r="G102" s="34">
        <v>10</v>
      </c>
      <c r="H102" s="35">
        <f t="shared" si="23"/>
        <v>0</v>
      </c>
      <c r="I102" s="33"/>
      <c r="J102" s="33"/>
      <c r="K102" s="33"/>
      <c r="L102" s="33"/>
      <c r="M102" s="33"/>
      <c r="N102" s="35">
        <f t="shared" si="24"/>
        <v>0</v>
      </c>
      <c r="O102" s="33"/>
      <c r="P102" s="36"/>
      <c r="Q102" s="36"/>
      <c r="R102" s="37">
        <f t="shared" si="25"/>
        <v>0</v>
      </c>
      <c r="S102" s="36"/>
      <c r="T102" s="38"/>
    </row>
    <row r="103" spans="2:20" ht="15.6" x14ac:dyDescent="0.3">
      <c r="B103" s="30">
        <f t="shared" ref="B103" si="26">+B102+1</f>
        <v>5</v>
      </c>
      <c r="C103" s="30" t="s">
        <v>164</v>
      </c>
      <c r="D103" s="31" t="s">
        <v>165</v>
      </c>
      <c r="E103" s="32">
        <v>45473</v>
      </c>
      <c r="F103" s="33"/>
      <c r="G103" s="34">
        <v>10</v>
      </c>
      <c r="H103" s="35">
        <f t="shared" si="23"/>
        <v>0</v>
      </c>
      <c r="I103" s="33"/>
      <c r="J103" s="33"/>
      <c r="K103" s="33"/>
      <c r="L103" s="33"/>
      <c r="M103" s="33"/>
      <c r="N103" s="35">
        <f t="shared" si="24"/>
        <v>0</v>
      </c>
      <c r="O103" s="33"/>
      <c r="P103" s="36"/>
      <c r="Q103" s="36"/>
      <c r="R103" s="37">
        <f t="shared" si="25"/>
        <v>0</v>
      </c>
      <c r="S103" s="36"/>
      <c r="T103" s="38"/>
    </row>
    <row r="104" spans="2:20" ht="15.6" x14ac:dyDescent="0.3">
      <c r="B104" s="25"/>
      <c r="C104" s="25"/>
      <c r="D104" s="25"/>
      <c r="E104" s="25"/>
      <c r="F104" s="25"/>
      <c r="G104" s="40"/>
      <c r="H104" s="41"/>
      <c r="I104" s="27"/>
      <c r="J104" s="27"/>
      <c r="K104" s="27"/>
      <c r="L104" s="27"/>
      <c r="M104" s="27"/>
      <c r="N104" s="42"/>
      <c r="O104" s="27"/>
      <c r="P104" s="27"/>
      <c r="Q104" s="27"/>
      <c r="R104" s="42"/>
      <c r="S104" s="27"/>
      <c r="T104" s="27"/>
    </row>
    <row r="105" spans="2:20" ht="15.6" x14ac:dyDescent="0.3">
      <c r="B105" s="44">
        <f>COUNT(B66:B104)</f>
        <v>35</v>
      </c>
      <c r="C105" s="44"/>
      <c r="D105" s="45"/>
      <c r="E105" s="45"/>
      <c r="F105" s="45">
        <f>SUM(F66:F104)</f>
        <v>62606.94189699999</v>
      </c>
      <c r="G105" s="46"/>
      <c r="H105" s="47">
        <f t="shared" ref="H105:O105" si="27">SUM(H66:H104)</f>
        <v>6260.6941896999997</v>
      </c>
      <c r="I105" s="45">
        <f t="shared" si="27"/>
        <v>131173.15680300002</v>
      </c>
      <c r="J105" s="45">
        <f t="shared" si="27"/>
        <v>226920.38137499997</v>
      </c>
      <c r="K105" s="45">
        <f t="shared" si="27"/>
        <v>41811.972780999997</v>
      </c>
      <c r="L105" s="45">
        <f t="shared" si="27"/>
        <v>5353.9710649999997</v>
      </c>
      <c r="M105" s="45">
        <f t="shared" si="27"/>
        <v>23595.781227000003</v>
      </c>
      <c r="N105" s="48">
        <f t="shared" si="27"/>
        <v>5707.7497370000019</v>
      </c>
      <c r="O105" s="45">
        <f t="shared" si="27"/>
        <v>17888.031489999998</v>
      </c>
      <c r="P105" s="49"/>
      <c r="Q105" s="49"/>
      <c r="R105" s="50"/>
      <c r="S105" s="49"/>
      <c r="T105" s="51">
        <f>SUM(T66:T104)</f>
        <v>84066</v>
      </c>
    </row>
    <row r="106" spans="2:20" ht="15.6" x14ac:dyDescent="0.3">
      <c r="B106" s="25"/>
      <c r="C106" s="25"/>
      <c r="D106" s="25"/>
      <c r="E106" s="25"/>
      <c r="F106" s="25"/>
      <c r="G106" s="40"/>
      <c r="H106" s="41"/>
      <c r="I106" s="27"/>
      <c r="J106" s="27"/>
      <c r="K106" s="27"/>
      <c r="L106" s="27"/>
      <c r="M106" s="27"/>
      <c r="N106" s="42"/>
      <c r="O106" s="27"/>
      <c r="P106" s="27"/>
      <c r="Q106" s="27"/>
      <c r="R106" s="42"/>
      <c r="S106" s="27"/>
      <c r="T106" s="27"/>
    </row>
    <row r="107" spans="2:20" ht="15.6" x14ac:dyDescent="0.3">
      <c r="B107" s="25"/>
      <c r="C107" s="25"/>
      <c r="D107" s="25"/>
      <c r="E107" s="25"/>
      <c r="F107" s="25"/>
      <c r="G107" s="40"/>
      <c r="H107" s="41"/>
      <c r="I107" s="27"/>
      <c r="J107" s="27"/>
      <c r="K107" s="27"/>
      <c r="L107" s="27"/>
      <c r="M107" s="27"/>
      <c r="N107" s="42"/>
      <c r="O107" s="27"/>
      <c r="P107" s="27"/>
      <c r="Q107" s="27"/>
      <c r="R107" s="42"/>
      <c r="S107" s="27"/>
      <c r="T107" s="27"/>
    </row>
    <row r="108" spans="2:20" ht="18" x14ac:dyDescent="0.35">
      <c r="B108" s="25"/>
      <c r="C108" s="29">
        <v>5</v>
      </c>
      <c r="D108" s="29" t="s">
        <v>166</v>
      </c>
      <c r="E108" s="55"/>
      <c r="F108" s="55"/>
      <c r="G108" s="40"/>
      <c r="H108" s="41"/>
      <c r="I108" s="27"/>
      <c r="J108" s="27"/>
      <c r="K108" s="27"/>
      <c r="L108" s="27"/>
      <c r="M108" s="27"/>
      <c r="N108" s="42"/>
      <c r="O108" s="27"/>
      <c r="P108" s="27"/>
      <c r="Q108" s="27"/>
      <c r="R108" s="42"/>
      <c r="S108" s="27"/>
      <c r="T108" s="27"/>
    </row>
    <row r="109" spans="2:20" ht="15.6" x14ac:dyDescent="0.3">
      <c r="B109" s="25"/>
      <c r="C109" s="25"/>
      <c r="D109" s="25"/>
      <c r="E109" s="25"/>
      <c r="F109" s="25"/>
      <c r="G109" s="40"/>
      <c r="H109" s="41"/>
      <c r="I109" s="27"/>
      <c r="J109" s="27"/>
      <c r="K109" s="27"/>
      <c r="L109" s="27"/>
      <c r="M109" s="27"/>
      <c r="N109" s="42"/>
      <c r="O109" s="27"/>
      <c r="P109" s="27"/>
      <c r="Q109" s="27"/>
      <c r="R109" s="42"/>
      <c r="S109" s="27"/>
      <c r="T109" s="27"/>
    </row>
    <row r="110" spans="2:20" ht="15.6" x14ac:dyDescent="0.3">
      <c r="B110" s="54">
        <v>1</v>
      </c>
      <c r="C110" s="54" t="s">
        <v>167</v>
      </c>
      <c r="D110" s="31" t="s">
        <v>168</v>
      </c>
      <c r="E110" s="32">
        <v>45657</v>
      </c>
      <c r="F110" s="33">
        <v>11450.739</v>
      </c>
      <c r="G110" s="34">
        <v>10</v>
      </c>
      <c r="H110" s="35">
        <f t="shared" ref="H110:H129" si="28">+F110/G110</f>
        <v>1145.0738999999999</v>
      </c>
      <c r="I110" s="33">
        <v>233901.201</v>
      </c>
      <c r="J110" s="33">
        <v>2816968.6889999998</v>
      </c>
      <c r="K110" s="33">
        <v>376760.27</v>
      </c>
      <c r="L110" s="33">
        <v>0</v>
      </c>
      <c r="M110" s="33">
        <v>87928.161999999997</v>
      </c>
      <c r="N110" s="35">
        <f t="shared" ref="N110:N129" si="29">+M110-O110</f>
        <v>44812.257999999994</v>
      </c>
      <c r="O110" s="33">
        <v>43115.904000000002</v>
      </c>
      <c r="P110" s="36">
        <f>40+40+40+40</f>
        <v>160</v>
      </c>
      <c r="Q110" s="36">
        <v>0</v>
      </c>
      <c r="R110" s="37">
        <f t="shared" ref="R110:R129" si="30">SUM(P110:Q110)</f>
        <v>160</v>
      </c>
      <c r="S110" s="36"/>
      <c r="T110" s="38">
        <v>19220</v>
      </c>
    </row>
    <row r="111" spans="2:20" ht="15.6" x14ac:dyDescent="0.3">
      <c r="B111" s="54">
        <f>+B110+1</f>
        <v>2</v>
      </c>
      <c r="C111" s="30" t="s">
        <v>169</v>
      </c>
      <c r="D111" s="31" t="s">
        <v>170</v>
      </c>
      <c r="E111" s="32">
        <v>45657</v>
      </c>
      <c r="F111" s="33">
        <v>14492.99207</v>
      </c>
      <c r="G111" s="34">
        <v>10</v>
      </c>
      <c r="H111" s="35">
        <f t="shared" si="28"/>
        <v>1449.299207</v>
      </c>
      <c r="I111" s="33">
        <v>121628.55899999999</v>
      </c>
      <c r="J111" s="33">
        <v>2498374.2050000001</v>
      </c>
      <c r="K111" s="33">
        <v>401028.44699999999</v>
      </c>
      <c r="L111" s="33">
        <v>0</v>
      </c>
      <c r="M111" s="33">
        <v>44507.379000000001</v>
      </c>
      <c r="N111" s="35">
        <f t="shared" si="29"/>
        <v>23484.708000000002</v>
      </c>
      <c r="O111" s="33">
        <v>21022.670999999998</v>
      </c>
      <c r="P111" s="36">
        <v>30</v>
      </c>
      <c r="Q111" s="36">
        <v>0</v>
      </c>
      <c r="R111" s="37">
        <f t="shared" si="30"/>
        <v>30</v>
      </c>
      <c r="S111" s="36"/>
      <c r="T111" s="38">
        <v>13652</v>
      </c>
    </row>
    <row r="112" spans="2:20" ht="15.6" x14ac:dyDescent="0.3">
      <c r="B112" s="54">
        <f t="shared" ref="B112:B129" si="31">+B111+1</f>
        <v>3</v>
      </c>
      <c r="C112" s="30" t="s">
        <v>171</v>
      </c>
      <c r="D112" s="31" t="s">
        <v>172</v>
      </c>
      <c r="E112" s="32">
        <v>45657</v>
      </c>
      <c r="F112" s="33">
        <v>15771.65119</v>
      </c>
      <c r="G112" s="34">
        <v>10</v>
      </c>
      <c r="H112" s="35">
        <f t="shared" si="28"/>
        <v>1577.165119</v>
      </c>
      <c r="I112" s="33">
        <v>178112.41</v>
      </c>
      <c r="J112" s="33">
        <v>3710206.1209999998</v>
      </c>
      <c r="K112" s="33">
        <v>506898.09600000002</v>
      </c>
      <c r="L112" s="33">
        <v>0</v>
      </c>
      <c r="M112" s="33">
        <v>83095.134999999995</v>
      </c>
      <c r="N112" s="35">
        <f t="shared" si="29"/>
        <v>44777.003999999994</v>
      </c>
      <c r="O112" s="33">
        <v>38318.131000000001</v>
      </c>
      <c r="P112" s="36">
        <f>20+20+20+25</f>
        <v>85</v>
      </c>
      <c r="Q112" s="36">
        <v>0</v>
      </c>
      <c r="R112" s="37">
        <f t="shared" si="30"/>
        <v>85</v>
      </c>
      <c r="S112" s="36"/>
      <c r="T112" s="38">
        <v>11492</v>
      </c>
    </row>
    <row r="113" spans="2:20" ht="15.6" x14ac:dyDescent="0.3">
      <c r="B113" s="54">
        <f t="shared" si="31"/>
        <v>4</v>
      </c>
      <c r="C113" s="30" t="s">
        <v>173</v>
      </c>
      <c r="D113" s="31" t="s">
        <v>174</v>
      </c>
      <c r="E113" s="32">
        <v>45657</v>
      </c>
      <c r="F113" s="33">
        <v>11114.25419</v>
      </c>
      <c r="G113" s="34">
        <v>10</v>
      </c>
      <c r="H113" s="35">
        <f t="shared" si="28"/>
        <v>1111.4254189999999</v>
      </c>
      <c r="I113" s="33">
        <v>151988.62</v>
      </c>
      <c r="J113" s="33">
        <v>3320035.2050000001</v>
      </c>
      <c r="K113" s="33">
        <v>478031.02299999999</v>
      </c>
      <c r="L113" s="33">
        <v>0</v>
      </c>
      <c r="M113" s="33">
        <v>83841.229000000007</v>
      </c>
      <c r="N113" s="35">
        <f t="shared" si="29"/>
        <v>43979.042000000009</v>
      </c>
      <c r="O113" s="33">
        <v>39862.186999999998</v>
      </c>
      <c r="P113" s="36">
        <f>35+35+35+65</f>
        <v>170</v>
      </c>
      <c r="Q113" s="36">
        <v>0</v>
      </c>
      <c r="R113" s="37">
        <f t="shared" si="30"/>
        <v>170</v>
      </c>
      <c r="S113" s="36"/>
      <c r="T113" s="38">
        <v>7439</v>
      </c>
    </row>
    <row r="114" spans="2:20" ht="15.6" x14ac:dyDescent="0.3">
      <c r="B114" s="54">
        <f t="shared" si="31"/>
        <v>5</v>
      </c>
      <c r="C114" s="30" t="s">
        <v>175</v>
      </c>
      <c r="D114" s="31" t="s">
        <v>176</v>
      </c>
      <c r="E114" s="32">
        <v>45657</v>
      </c>
      <c r="F114" s="33">
        <v>11087.03299</v>
      </c>
      <c r="G114" s="34">
        <v>10</v>
      </c>
      <c r="H114" s="35">
        <f t="shared" si="28"/>
        <v>1108.703299</v>
      </c>
      <c r="I114" s="33">
        <v>48309.275999999998</v>
      </c>
      <c r="J114" s="33">
        <v>737834.02500000002</v>
      </c>
      <c r="K114" s="33">
        <v>112800.697</v>
      </c>
      <c r="L114" s="33">
        <v>0</v>
      </c>
      <c r="M114" s="33">
        <v>25529.701000000001</v>
      </c>
      <c r="N114" s="35">
        <f t="shared" si="29"/>
        <v>13696.160000000002</v>
      </c>
      <c r="O114" s="33">
        <v>11833.540999999999</v>
      </c>
      <c r="P114" s="36">
        <f>15+12.5</f>
        <v>27.5</v>
      </c>
      <c r="Q114" s="36">
        <v>0</v>
      </c>
      <c r="R114" s="37">
        <f t="shared" si="30"/>
        <v>27.5</v>
      </c>
      <c r="S114" s="36"/>
      <c r="T114" s="38">
        <v>21030</v>
      </c>
    </row>
    <row r="115" spans="2:20" ht="15.6" x14ac:dyDescent="0.3">
      <c r="B115" s="54">
        <f t="shared" si="31"/>
        <v>6</v>
      </c>
      <c r="C115" s="30" t="s">
        <v>177</v>
      </c>
      <c r="D115" s="31" t="s">
        <v>178</v>
      </c>
      <c r="E115" s="32">
        <v>45657</v>
      </c>
      <c r="F115" s="33">
        <v>11579.36</v>
      </c>
      <c r="G115" s="34">
        <v>10</v>
      </c>
      <c r="H115" s="35">
        <f t="shared" si="28"/>
        <v>1157.9360000000001</v>
      </c>
      <c r="I115" s="33">
        <v>21899.219000000001</v>
      </c>
      <c r="J115" s="33">
        <v>477563.86700000003</v>
      </c>
      <c r="K115" s="33">
        <v>65221.29</v>
      </c>
      <c r="L115" s="33">
        <v>0</v>
      </c>
      <c r="M115" s="33">
        <v>8135.0749999999998</v>
      </c>
      <c r="N115" s="35">
        <f t="shared" si="29"/>
        <v>4519.9539999999997</v>
      </c>
      <c r="O115" s="33">
        <v>3615.1210000000001</v>
      </c>
      <c r="P115" s="36">
        <v>17</v>
      </c>
      <c r="Q115" s="36">
        <v>0</v>
      </c>
      <c r="R115" s="37">
        <f t="shared" si="30"/>
        <v>17</v>
      </c>
      <c r="S115" s="36"/>
      <c r="T115" s="38">
        <v>27458</v>
      </c>
    </row>
    <row r="116" spans="2:20" ht="15.6" x14ac:dyDescent="0.3">
      <c r="B116" s="54">
        <f t="shared" si="31"/>
        <v>7</v>
      </c>
      <c r="C116" s="30" t="s">
        <v>179</v>
      </c>
      <c r="D116" s="31" t="s">
        <v>180</v>
      </c>
      <c r="E116" s="32">
        <v>45657</v>
      </c>
      <c r="F116" s="33">
        <v>32715.693190000002</v>
      </c>
      <c r="G116" s="34">
        <v>10</v>
      </c>
      <c r="H116" s="35">
        <f t="shared" si="28"/>
        <v>3271.5693190000002</v>
      </c>
      <c r="I116" s="33">
        <v>92531.145000000004</v>
      </c>
      <c r="J116" s="33">
        <v>2379979.21</v>
      </c>
      <c r="K116" s="33">
        <v>343790.94</v>
      </c>
      <c r="L116" s="33">
        <v>0</v>
      </c>
      <c r="M116" s="33">
        <v>24564.54</v>
      </c>
      <c r="N116" s="35">
        <f t="shared" si="29"/>
        <v>11189.178000000002</v>
      </c>
      <c r="O116" s="33">
        <v>13375.361999999999</v>
      </c>
      <c r="P116" s="36">
        <v>18</v>
      </c>
      <c r="Q116" s="36">
        <v>0</v>
      </c>
      <c r="R116" s="37">
        <f t="shared" si="30"/>
        <v>18</v>
      </c>
      <c r="S116" s="36"/>
      <c r="T116" s="38">
        <v>20521</v>
      </c>
    </row>
    <row r="117" spans="2:20" ht="15.6" x14ac:dyDescent="0.3">
      <c r="B117" s="54">
        <f t="shared" si="31"/>
        <v>8</v>
      </c>
      <c r="C117" s="30" t="s">
        <v>181</v>
      </c>
      <c r="D117" s="31" t="s">
        <v>182</v>
      </c>
      <c r="E117" s="32">
        <v>45657</v>
      </c>
      <c r="F117" s="33">
        <v>15176.965260000001</v>
      </c>
      <c r="G117" s="34">
        <v>10</v>
      </c>
      <c r="H117" s="35">
        <f t="shared" si="28"/>
        <v>1517.6965260000002</v>
      </c>
      <c r="I117" s="33">
        <v>108361.36900000001</v>
      </c>
      <c r="J117" s="33">
        <v>1565282.7649999999</v>
      </c>
      <c r="K117" s="33">
        <v>225051.851</v>
      </c>
      <c r="L117" s="33">
        <v>0</v>
      </c>
      <c r="M117" s="33">
        <v>50407.66</v>
      </c>
      <c r="N117" s="35">
        <f t="shared" si="29"/>
        <v>27379.467000000004</v>
      </c>
      <c r="O117" s="33">
        <v>23028.192999999999</v>
      </c>
      <c r="P117" s="36">
        <f>10+20+15+25</f>
        <v>70</v>
      </c>
      <c r="Q117" s="36">
        <v>0</v>
      </c>
      <c r="R117" s="37">
        <f>SUM(P117:Q117)</f>
        <v>70</v>
      </c>
      <c r="S117" s="36"/>
      <c r="T117" s="38">
        <v>21583</v>
      </c>
    </row>
    <row r="118" spans="2:20" ht="15.6" x14ac:dyDescent="0.3">
      <c r="B118" s="54">
        <f t="shared" si="31"/>
        <v>9</v>
      </c>
      <c r="C118" s="30" t="s">
        <v>183</v>
      </c>
      <c r="D118" s="31" t="s">
        <v>184</v>
      </c>
      <c r="E118" s="32">
        <v>45657</v>
      </c>
      <c r="F118" s="33">
        <v>14668.525079999999</v>
      </c>
      <c r="G118" s="34">
        <v>10</v>
      </c>
      <c r="H118" s="35">
        <f t="shared" si="28"/>
        <v>1466.8525079999999</v>
      </c>
      <c r="I118" s="33">
        <v>377785.29599999997</v>
      </c>
      <c r="J118" s="33">
        <v>5659803.8300000001</v>
      </c>
      <c r="K118" s="33">
        <v>768558.71799999999</v>
      </c>
      <c r="L118" s="33">
        <v>0</v>
      </c>
      <c r="M118" s="33">
        <v>118877.106</v>
      </c>
      <c r="N118" s="35">
        <f t="shared" si="29"/>
        <v>62111.286999999997</v>
      </c>
      <c r="O118" s="33">
        <v>56765.819000000003</v>
      </c>
      <c r="P118" s="36">
        <f>40+40+40+42.5</f>
        <v>162.5</v>
      </c>
      <c r="Q118" s="36">
        <v>0</v>
      </c>
      <c r="R118" s="37">
        <f t="shared" si="30"/>
        <v>162.5</v>
      </c>
      <c r="S118" s="36"/>
      <c r="T118" s="38">
        <v>90162</v>
      </c>
    </row>
    <row r="119" spans="2:20" ht="15.6" x14ac:dyDescent="0.3">
      <c r="B119" s="54">
        <f t="shared" si="31"/>
        <v>10</v>
      </c>
      <c r="C119" s="30" t="s">
        <v>185</v>
      </c>
      <c r="D119" s="31" t="s">
        <v>186</v>
      </c>
      <c r="E119" s="32">
        <v>45657</v>
      </c>
      <c r="F119" s="33">
        <v>10478.3148</v>
      </c>
      <c r="G119" s="34">
        <v>10</v>
      </c>
      <c r="H119" s="35">
        <f t="shared" si="28"/>
        <v>1047.8314800000001</v>
      </c>
      <c r="I119" s="33">
        <v>115031.815</v>
      </c>
      <c r="J119" s="33">
        <v>1500133.78</v>
      </c>
      <c r="K119" s="33">
        <v>234238.66800000001</v>
      </c>
      <c r="L119" s="33">
        <v>0</v>
      </c>
      <c r="M119" s="33">
        <v>52659.981</v>
      </c>
      <c r="N119" s="35">
        <f t="shared" si="29"/>
        <v>27986.472999999998</v>
      </c>
      <c r="O119" s="33">
        <v>24673.508000000002</v>
      </c>
      <c r="P119" s="36">
        <f>25+25+25+45</f>
        <v>120</v>
      </c>
      <c r="Q119" s="36">
        <v>0</v>
      </c>
      <c r="R119" s="37">
        <f t="shared" si="30"/>
        <v>120</v>
      </c>
      <c r="S119" s="36"/>
      <c r="T119" s="38">
        <v>2884</v>
      </c>
    </row>
    <row r="120" spans="2:20" ht="15.6" x14ac:dyDescent="0.3">
      <c r="B120" s="54">
        <f t="shared" si="31"/>
        <v>11</v>
      </c>
      <c r="C120" s="30" t="s">
        <v>187</v>
      </c>
      <c r="D120" s="31" t="s">
        <v>188</v>
      </c>
      <c r="E120" s="32">
        <v>45657</v>
      </c>
      <c r="F120" s="33">
        <v>20506.625359999998</v>
      </c>
      <c r="G120" s="34">
        <v>10</v>
      </c>
      <c r="H120" s="35">
        <f t="shared" si="28"/>
        <v>2050.6625359999998</v>
      </c>
      <c r="I120" s="33">
        <v>43706.633999999998</v>
      </c>
      <c r="J120" s="33">
        <v>636107.26800000004</v>
      </c>
      <c r="K120" s="33">
        <v>108502.795</v>
      </c>
      <c r="L120" s="33">
        <v>0</v>
      </c>
      <c r="M120" s="33">
        <v>6366.0770000000002</v>
      </c>
      <c r="N120" s="35">
        <f t="shared" si="29"/>
        <v>3517.6110000000003</v>
      </c>
      <c r="O120" s="33">
        <v>2848.4659999999999</v>
      </c>
      <c r="P120" s="36">
        <v>0</v>
      </c>
      <c r="Q120" s="36">
        <v>0</v>
      </c>
      <c r="R120" s="37">
        <f t="shared" si="30"/>
        <v>0</v>
      </c>
      <c r="S120" s="36"/>
      <c r="T120" s="38">
        <v>3621</v>
      </c>
    </row>
    <row r="121" spans="2:20" ht="15.6" x14ac:dyDescent="0.3">
      <c r="B121" s="54">
        <f t="shared" si="31"/>
        <v>12</v>
      </c>
      <c r="C121" s="30" t="s">
        <v>189</v>
      </c>
      <c r="D121" s="31" t="s">
        <v>190</v>
      </c>
      <c r="E121" s="32">
        <v>45657</v>
      </c>
      <c r="F121" s="33">
        <v>11850.600060000001</v>
      </c>
      <c r="G121" s="34">
        <v>10</v>
      </c>
      <c r="H121" s="35">
        <f t="shared" si="28"/>
        <v>1185.0600060000002</v>
      </c>
      <c r="I121" s="33">
        <v>270259.34000000003</v>
      </c>
      <c r="J121" s="33">
        <v>2703339.3050000002</v>
      </c>
      <c r="K121" s="33">
        <v>367020.25199999998</v>
      </c>
      <c r="L121" s="33">
        <v>0</v>
      </c>
      <c r="M121" s="33">
        <v>118420.045</v>
      </c>
      <c r="N121" s="35">
        <f t="shared" si="29"/>
        <v>60805.534999999996</v>
      </c>
      <c r="O121" s="33">
        <v>57614.51</v>
      </c>
      <c r="P121" s="36">
        <f>90+90+90+90</f>
        <v>360</v>
      </c>
      <c r="Q121" s="36">
        <v>0</v>
      </c>
      <c r="R121" s="37">
        <f t="shared" si="30"/>
        <v>360</v>
      </c>
      <c r="S121" s="36"/>
      <c r="T121" s="38">
        <v>54119</v>
      </c>
    </row>
    <row r="122" spans="2:20" ht="15.6" x14ac:dyDescent="0.3">
      <c r="B122" s="54">
        <f t="shared" si="31"/>
        <v>13</v>
      </c>
      <c r="C122" s="30" t="s">
        <v>191</v>
      </c>
      <c r="D122" s="31" t="s">
        <v>192</v>
      </c>
      <c r="E122" s="32">
        <v>45657</v>
      </c>
      <c r="F122" s="33">
        <v>17947.407139999999</v>
      </c>
      <c r="G122" s="34">
        <v>10</v>
      </c>
      <c r="H122" s="35">
        <f t="shared" si="28"/>
        <v>1794.740714</v>
      </c>
      <c r="I122" s="33">
        <v>246984.29199999999</v>
      </c>
      <c r="J122" s="33">
        <v>3900411.33</v>
      </c>
      <c r="K122" s="33">
        <v>494296.85200000001</v>
      </c>
      <c r="L122" s="33">
        <v>0</v>
      </c>
      <c r="M122" s="33">
        <v>222085.10399999999</v>
      </c>
      <c r="N122" s="35">
        <f t="shared" si="29"/>
        <v>120577.57999999999</v>
      </c>
      <c r="O122" s="33">
        <v>101507.524</v>
      </c>
      <c r="P122" s="36">
        <f>70+70+70+70</f>
        <v>280</v>
      </c>
      <c r="Q122" s="36">
        <v>0</v>
      </c>
      <c r="R122" s="37">
        <f t="shared" si="30"/>
        <v>280</v>
      </c>
      <c r="S122" s="36"/>
      <c r="T122" s="38">
        <v>16738</v>
      </c>
    </row>
    <row r="123" spans="2:20" ht="15.6" x14ac:dyDescent="0.3">
      <c r="B123" s="54">
        <f t="shared" si="31"/>
        <v>14</v>
      </c>
      <c r="C123" s="30" t="s">
        <v>193</v>
      </c>
      <c r="D123" s="31" t="s">
        <v>194</v>
      </c>
      <c r="E123" s="32">
        <v>45657</v>
      </c>
      <c r="F123" s="33">
        <v>21275.131000000001</v>
      </c>
      <c r="G123" s="34">
        <v>10</v>
      </c>
      <c r="H123" s="35">
        <f t="shared" si="28"/>
        <v>2127.5131000000001</v>
      </c>
      <c r="I123" s="33">
        <v>456951.446</v>
      </c>
      <c r="J123" s="33">
        <v>6744078.2529999996</v>
      </c>
      <c r="K123" s="33">
        <f>1089414.852+65426.186</f>
        <v>1154841.0379999999</v>
      </c>
      <c r="L123" s="33">
        <v>0</v>
      </c>
      <c r="M123" s="33">
        <v>56677.057999999997</v>
      </c>
      <c r="N123" s="35">
        <f t="shared" si="29"/>
        <v>29811.313999999998</v>
      </c>
      <c r="O123" s="33">
        <v>26865.743999999999</v>
      </c>
      <c r="P123" s="36">
        <v>80</v>
      </c>
      <c r="Q123" s="36">
        <v>0</v>
      </c>
      <c r="R123" s="37">
        <f t="shared" si="30"/>
        <v>80</v>
      </c>
      <c r="S123" s="36"/>
      <c r="T123" s="38">
        <v>10571</v>
      </c>
    </row>
    <row r="124" spans="2:20" ht="15.6" x14ac:dyDescent="0.3">
      <c r="B124" s="54">
        <f t="shared" si="31"/>
        <v>15</v>
      </c>
      <c r="C124" s="30" t="s">
        <v>195</v>
      </c>
      <c r="D124" s="31" t="s">
        <v>196</v>
      </c>
      <c r="E124" s="32">
        <v>45657</v>
      </c>
      <c r="F124" s="33">
        <v>10082.387000000001</v>
      </c>
      <c r="G124" s="34">
        <v>10</v>
      </c>
      <c r="H124" s="35">
        <f t="shared" si="28"/>
        <v>1008.2387000000001</v>
      </c>
      <c r="I124" s="33">
        <v>17225.186000000002</v>
      </c>
      <c r="J124" s="33">
        <v>182485.989</v>
      </c>
      <c r="K124" s="33">
        <v>28720.686000000002</v>
      </c>
      <c r="L124" s="33">
        <v>0</v>
      </c>
      <c r="M124" s="33">
        <v>1549.7239999999999</v>
      </c>
      <c r="N124" s="35">
        <f t="shared" si="29"/>
        <v>850.39199999999994</v>
      </c>
      <c r="O124" s="33">
        <v>699.33199999999999</v>
      </c>
      <c r="P124" s="36">
        <v>0</v>
      </c>
      <c r="Q124" s="36">
        <v>0</v>
      </c>
      <c r="R124" s="37">
        <f t="shared" si="30"/>
        <v>0</v>
      </c>
      <c r="S124" s="36"/>
      <c r="T124" s="38">
        <v>4979</v>
      </c>
    </row>
    <row r="125" spans="2:20" ht="15.6" x14ac:dyDescent="0.3">
      <c r="B125" s="54">
        <f t="shared" si="31"/>
        <v>16</v>
      </c>
      <c r="C125" s="30" t="s">
        <v>197</v>
      </c>
      <c r="D125" s="31" t="s">
        <v>198</v>
      </c>
      <c r="E125" s="32">
        <v>45657</v>
      </c>
      <c r="F125" s="33">
        <v>38715.850209999997</v>
      </c>
      <c r="G125" s="34">
        <v>10</v>
      </c>
      <c r="H125" s="35">
        <f t="shared" si="28"/>
        <v>3871.5850209999999</v>
      </c>
      <c r="I125" s="33">
        <v>117721.857</v>
      </c>
      <c r="J125" s="33">
        <v>1057292.06</v>
      </c>
      <c r="K125" s="33">
        <v>159132.943</v>
      </c>
      <c r="L125" s="33">
        <v>0</v>
      </c>
      <c r="M125" s="33">
        <v>100620.151</v>
      </c>
      <c r="N125" s="35">
        <f t="shared" si="29"/>
        <v>54553.386999999995</v>
      </c>
      <c r="O125" s="33">
        <v>46066.764000000003</v>
      </c>
      <c r="P125" s="36">
        <f>15+20+55</f>
        <v>90</v>
      </c>
      <c r="Q125" s="36">
        <v>0</v>
      </c>
      <c r="R125" s="37">
        <f t="shared" si="30"/>
        <v>90</v>
      </c>
      <c r="S125" s="36"/>
      <c r="T125" s="38">
        <v>7244</v>
      </c>
    </row>
    <row r="126" spans="2:20" ht="15.6" x14ac:dyDescent="0.3">
      <c r="B126" s="54">
        <f t="shared" si="31"/>
        <v>17</v>
      </c>
      <c r="C126" s="30" t="s">
        <v>199</v>
      </c>
      <c r="D126" s="31" t="s">
        <v>200</v>
      </c>
      <c r="E126" s="32">
        <v>45657</v>
      </c>
      <c r="F126" s="33">
        <v>90818.612370000003</v>
      </c>
      <c r="G126" s="34">
        <v>10</v>
      </c>
      <c r="H126" s="35">
        <f t="shared" si="28"/>
        <v>9081.861237000001</v>
      </c>
      <c r="I126" s="33">
        <v>-38220.504999999997</v>
      </c>
      <c r="J126" s="33">
        <v>293136.95299999998</v>
      </c>
      <c r="K126" s="33">
        <v>40167.417000000001</v>
      </c>
      <c r="L126" s="33">
        <v>0</v>
      </c>
      <c r="M126" s="33">
        <v>-25949.775000000001</v>
      </c>
      <c r="N126" s="35">
        <f t="shared" si="29"/>
        <v>-12907.101000000001</v>
      </c>
      <c r="O126" s="33">
        <v>-13042.674000000001</v>
      </c>
      <c r="P126" s="36">
        <v>0</v>
      </c>
      <c r="Q126" s="36">
        <v>0</v>
      </c>
      <c r="R126" s="37">
        <f t="shared" si="30"/>
        <v>0</v>
      </c>
      <c r="S126" s="36"/>
      <c r="T126" s="38">
        <v>10512</v>
      </c>
    </row>
    <row r="127" spans="2:20" ht="15.6" x14ac:dyDescent="0.3">
      <c r="B127" s="54">
        <f t="shared" si="31"/>
        <v>18</v>
      </c>
      <c r="C127" s="30" t="s">
        <v>201</v>
      </c>
      <c r="D127" s="31" t="s">
        <v>202</v>
      </c>
      <c r="E127" s="32">
        <v>45657</v>
      </c>
      <c r="F127" s="33">
        <v>66222.205759999997</v>
      </c>
      <c r="G127" s="34">
        <v>10</v>
      </c>
      <c r="H127" s="35">
        <f>+F127/G127</f>
        <v>6622.2205759999997</v>
      </c>
      <c r="I127" s="33">
        <v>-18149.337</v>
      </c>
      <c r="J127" s="33">
        <v>270598.473</v>
      </c>
      <c r="K127" s="33">
        <v>38923.019999999997</v>
      </c>
      <c r="L127" s="33">
        <v>0</v>
      </c>
      <c r="M127" s="33">
        <v>-7264.4110000000001</v>
      </c>
      <c r="N127" s="35">
        <f>+M127-O127</f>
        <v>-2048.491</v>
      </c>
      <c r="O127" s="33">
        <v>-5215.92</v>
      </c>
      <c r="P127" s="36">
        <v>0</v>
      </c>
      <c r="Q127" s="36">
        <v>0</v>
      </c>
      <c r="R127" s="37">
        <f>SUM(P127:Q127)</f>
        <v>0</v>
      </c>
      <c r="S127" s="36"/>
      <c r="T127" s="38">
        <v>41553</v>
      </c>
    </row>
    <row r="128" spans="2:20" ht="15.6" x14ac:dyDescent="0.3">
      <c r="B128" s="54">
        <f t="shared" si="31"/>
        <v>19</v>
      </c>
      <c r="C128" s="30" t="s">
        <v>203</v>
      </c>
      <c r="D128" s="31" t="s">
        <v>204</v>
      </c>
      <c r="E128" s="32">
        <v>45657</v>
      </c>
      <c r="F128" s="33">
        <v>11024.635029999999</v>
      </c>
      <c r="G128" s="34">
        <v>10</v>
      </c>
      <c r="H128" s="35">
        <f t="shared" si="28"/>
        <v>1102.4635029999999</v>
      </c>
      <c r="I128" s="33">
        <v>30809.745999999999</v>
      </c>
      <c r="J128" s="33">
        <v>739499.353</v>
      </c>
      <c r="K128" s="33">
        <v>114093.16</v>
      </c>
      <c r="L128" s="33">
        <v>0</v>
      </c>
      <c r="M128" s="33">
        <v>12638.168</v>
      </c>
      <c r="N128" s="35">
        <f t="shared" si="29"/>
        <v>6736.8739999999998</v>
      </c>
      <c r="O128" s="33">
        <v>5901.2939999999999</v>
      </c>
      <c r="P128" s="36">
        <f>12.5+17.5</f>
        <v>30</v>
      </c>
      <c r="Q128" s="36">
        <v>0</v>
      </c>
      <c r="R128" s="37">
        <f t="shared" si="30"/>
        <v>30</v>
      </c>
      <c r="S128" s="36"/>
      <c r="T128" s="38">
        <v>8336</v>
      </c>
    </row>
    <row r="129" spans="2:20" ht="15.6" x14ac:dyDescent="0.3">
      <c r="B129" s="54">
        <f t="shared" si="31"/>
        <v>20</v>
      </c>
      <c r="C129" s="30" t="s">
        <v>205</v>
      </c>
      <c r="D129" s="31" t="s">
        <v>206</v>
      </c>
      <c r="E129" s="32">
        <v>45657</v>
      </c>
      <c r="F129" s="33">
        <v>12241.79688</v>
      </c>
      <c r="G129" s="34">
        <v>10</v>
      </c>
      <c r="H129" s="35">
        <f t="shared" si="28"/>
        <v>1224.1796879999999</v>
      </c>
      <c r="I129" s="33">
        <v>316222.25099999999</v>
      </c>
      <c r="J129" s="33">
        <v>8063132.1339999996</v>
      </c>
      <c r="K129" s="33">
        <v>1084582.8570000001</v>
      </c>
      <c r="L129" s="33">
        <v>0</v>
      </c>
      <c r="M129" s="33">
        <v>150191.64799999999</v>
      </c>
      <c r="N129" s="35">
        <f t="shared" si="29"/>
        <v>69664.113999999987</v>
      </c>
      <c r="O129" s="33">
        <v>80527.534</v>
      </c>
      <c r="P129" s="36">
        <f>110+110+110+110</f>
        <v>440</v>
      </c>
      <c r="Q129" s="36">
        <v>0</v>
      </c>
      <c r="R129" s="37">
        <f t="shared" si="30"/>
        <v>440</v>
      </c>
      <c r="S129" s="36"/>
      <c r="T129" s="38">
        <v>22823</v>
      </c>
    </row>
    <row r="130" spans="2:20" ht="15.6" x14ac:dyDescent="0.3">
      <c r="B130" s="56"/>
      <c r="C130" s="57"/>
      <c r="D130" s="58"/>
      <c r="E130" s="59"/>
      <c r="F130" s="60"/>
      <c r="G130" s="40"/>
      <c r="H130" s="61"/>
      <c r="I130" s="60"/>
      <c r="J130" s="60"/>
      <c r="K130" s="60"/>
      <c r="L130" s="60"/>
      <c r="M130" s="60"/>
      <c r="N130" s="61"/>
      <c r="O130" s="60"/>
      <c r="P130" s="62"/>
      <c r="Q130" s="62"/>
      <c r="R130" s="63"/>
      <c r="S130" s="62"/>
      <c r="T130" s="64"/>
    </row>
    <row r="131" spans="2:20" ht="15.6" x14ac:dyDescent="0.3">
      <c r="B131" s="44">
        <f>COUNT(B110:B130)</f>
        <v>20</v>
      </c>
      <c r="C131" s="44"/>
      <c r="D131" s="45"/>
      <c r="E131" s="45"/>
      <c r="F131" s="45">
        <f>SUM(F110:F130)</f>
        <v>449220.77857999993</v>
      </c>
      <c r="G131" s="46"/>
      <c r="H131" s="47">
        <f t="shared" ref="H131:O131" si="32">SUM(H110:H130)</f>
        <v>44922.077857999997</v>
      </c>
      <c r="I131" s="45">
        <f t="shared" si="32"/>
        <v>2893059.8200000008</v>
      </c>
      <c r="J131" s="45">
        <f t="shared" si="32"/>
        <v>49256262.814999998</v>
      </c>
      <c r="K131" s="45">
        <f t="shared" si="32"/>
        <v>7102661.0199999996</v>
      </c>
      <c r="L131" s="45">
        <f t="shared" si="32"/>
        <v>0</v>
      </c>
      <c r="M131" s="45">
        <f t="shared" si="32"/>
        <v>1214879.7570000002</v>
      </c>
      <c r="N131" s="48">
        <f t="shared" si="32"/>
        <v>635496.74599999981</v>
      </c>
      <c r="O131" s="45">
        <f t="shared" si="32"/>
        <v>579383.01100000006</v>
      </c>
      <c r="P131" s="49"/>
      <c r="Q131" s="49"/>
      <c r="R131" s="50"/>
      <c r="S131" s="49"/>
      <c r="T131" s="51">
        <f>SUM(T110:T130)</f>
        <v>415937</v>
      </c>
    </row>
    <row r="132" spans="2:20" ht="15.6" x14ac:dyDescent="0.3">
      <c r="B132" s="25"/>
      <c r="C132" s="25"/>
      <c r="D132" s="25"/>
      <c r="E132" s="25"/>
      <c r="F132" s="25"/>
      <c r="G132" s="40"/>
      <c r="H132" s="41"/>
      <c r="I132" s="27"/>
      <c r="J132" s="27"/>
      <c r="K132" s="27"/>
      <c r="L132" s="27"/>
      <c r="M132" s="27"/>
      <c r="N132" s="42"/>
      <c r="O132" s="27"/>
      <c r="P132" s="27"/>
      <c r="Q132" s="27"/>
      <c r="R132" s="42"/>
      <c r="S132" s="27"/>
      <c r="T132" s="27"/>
    </row>
    <row r="133" spans="2:20" ht="15.6" x14ac:dyDescent="0.3">
      <c r="B133" s="25"/>
      <c r="C133" s="25"/>
      <c r="D133" s="25"/>
      <c r="E133" s="25"/>
      <c r="F133" s="25"/>
      <c r="G133" s="40"/>
      <c r="H133" s="41"/>
      <c r="I133" s="27"/>
      <c r="J133" s="27"/>
      <c r="K133" s="27"/>
      <c r="L133" s="27"/>
      <c r="M133" s="27"/>
      <c r="N133" s="42"/>
      <c r="O133" s="27"/>
      <c r="P133" s="27"/>
      <c r="Q133" s="27"/>
      <c r="R133" s="42"/>
      <c r="S133" s="27"/>
      <c r="T133" s="27"/>
    </row>
    <row r="134" spans="2:20" ht="18" x14ac:dyDescent="0.35">
      <c r="B134" s="25"/>
      <c r="C134" s="29">
        <v>6</v>
      </c>
      <c r="D134" s="29" t="s">
        <v>207</v>
      </c>
      <c r="E134" s="55"/>
      <c r="F134" s="55"/>
      <c r="G134" s="40"/>
      <c r="H134" s="41"/>
      <c r="I134" s="27"/>
      <c r="J134" s="27"/>
      <c r="K134" s="27"/>
      <c r="L134" s="27"/>
      <c r="M134" s="27"/>
      <c r="N134" s="42"/>
      <c r="O134" s="27"/>
      <c r="P134" s="27"/>
      <c r="Q134" s="27"/>
      <c r="R134" s="42"/>
      <c r="S134" s="27"/>
      <c r="T134" s="27"/>
    </row>
    <row r="135" spans="2:20" ht="15.6" x14ac:dyDescent="0.3">
      <c r="B135" s="25"/>
      <c r="C135" s="25"/>
      <c r="D135" s="25"/>
      <c r="E135" s="25"/>
      <c r="F135" s="25"/>
      <c r="G135" s="40"/>
      <c r="H135" s="41"/>
      <c r="I135" s="27"/>
      <c r="J135" s="27"/>
      <c r="K135" s="27"/>
      <c r="L135" s="27"/>
      <c r="M135" s="27"/>
      <c r="N135" s="42"/>
      <c r="O135" s="27"/>
      <c r="P135" s="27"/>
      <c r="Q135" s="27"/>
      <c r="R135" s="42"/>
      <c r="S135" s="27"/>
      <c r="T135" s="27"/>
    </row>
    <row r="136" spans="2:20" ht="15.6" x14ac:dyDescent="0.3">
      <c r="B136" s="30">
        <v>1</v>
      </c>
      <c r="C136" s="30" t="s">
        <v>208</v>
      </c>
      <c r="D136" s="31" t="s">
        <v>209</v>
      </c>
      <c r="E136" s="32">
        <v>45657</v>
      </c>
      <c r="F136" s="33">
        <v>719.01898000000006</v>
      </c>
      <c r="G136" s="34">
        <v>10</v>
      </c>
      <c r="H136" s="35">
        <f t="shared" ref="H136:H159" si="33">+F136/G136</f>
        <v>71.901898000000003</v>
      </c>
      <c r="I136" s="33">
        <v>3172.19</v>
      </c>
      <c r="J136" s="33">
        <v>8429.01</v>
      </c>
      <c r="K136" s="33">
        <v>3403.9270000000001</v>
      </c>
      <c r="L136" s="33">
        <v>22.067</v>
      </c>
      <c r="M136" s="33">
        <v>1060.0909999999999</v>
      </c>
      <c r="N136" s="35">
        <f t="shared" ref="N136:N159" si="34">+M136-O136</f>
        <v>404.19099999999992</v>
      </c>
      <c r="O136" s="33">
        <v>655.9</v>
      </c>
      <c r="P136" s="36">
        <f>20+25</f>
        <v>45</v>
      </c>
      <c r="Q136" s="36">
        <v>0</v>
      </c>
      <c r="R136" s="37">
        <f t="shared" ref="R136:R159" si="35">SUM(P136:Q136)</f>
        <v>45</v>
      </c>
      <c r="S136" s="36"/>
      <c r="T136" s="38">
        <v>1759</v>
      </c>
    </row>
    <row r="137" spans="2:20" ht="15.6" x14ac:dyDescent="0.3">
      <c r="B137" s="30">
        <f>+B136+1</f>
        <v>2</v>
      </c>
      <c r="C137" s="30" t="s">
        <v>210</v>
      </c>
      <c r="D137" s="31" t="s">
        <v>211</v>
      </c>
      <c r="E137" s="32">
        <v>45657</v>
      </c>
      <c r="F137" s="33">
        <v>3500</v>
      </c>
      <c r="G137" s="34">
        <v>10</v>
      </c>
      <c r="H137" s="35">
        <f t="shared" si="33"/>
        <v>350</v>
      </c>
      <c r="I137" s="33">
        <v>40625.237999999998</v>
      </c>
      <c r="J137" s="33">
        <v>109124.371</v>
      </c>
      <c r="K137" s="33">
        <v>26982.764999999999</v>
      </c>
      <c r="L137" s="33">
        <v>7.0609999999999999</v>
      </c>
      <c r="M137" s="33">
        <v>6708.5429999999997</v>
      </c>
      <c r="N137" s="35">
        <f t="shared" si="34"/>
        <v>2658.3409999999994</v>
      </c>
      <c r="O137" s="33">
        <v>4050.2020000000002</v>
      </c>
      <c r="P137" s="36">
        <f>15+15</f>
        <v>30</v>
      </c>
      <c r="Q137" s="36">
        <v>0</v>
      </c>
      <c r="R137" s="37">
        <f t="shared" si="35"/>
        <v>30</v>
      </c>
      <c r="S137" s="36"/>
      <c r="T137" s="38">
        <v>4397</v>
      </c>
    </row>
    <row r="138" spans="2:20" ht="15.6" x14ac:dyDescent="0.3">
      <c r="B138" s="30">
        <f>+B137+1</f>
        <v>3</v>
      </c>
      <c r="C138" s="54" t="s">
        <v>212</v>
      </c>
      <c r="D138" s="31" t="s">
        <v>213</v>
      </c>
      <c r="E138" s="32">
        <v>45657</v>
      </c>
      <c r="F138" s="33">
        <v>1501.7201399999999</v>
      </c>
      <c r="G138" s="34">
        <v>10</v>
      </c>
      <c r="H138" s="35">
        <f t="shared" si="33"/>
        <v>150.17201399999999</v>
      </c>
      <c r="I138" s="33">
        <v>509.43</v>
      </c>
      <c r="J138" s="33">
        <v>2949.7640000000001</v>
      </c>
      <c r="K138" s="33">
        <v>2017.6120000000001</v>
      </c>
      <c r="L138" s="33">
        <v>0</v>
      </c>
      <c r="M138" s="33">
        <v>18.402999999999999</v>
      </c>
      <c r="N138" s="35">
        <f t="shared" si="34"/>
        <v>3.2799999999999994</v>
      </c>
      <c r="O138" s="33">
        <v>15.122999999999999</v>
      </c>
      <c r="P138" s="36">
        <v>0</v>
      </c>
      <c r="Q138" s="36">
        <v>0</v>
      </c>
      <c r="R138" s="37">
        <f t="shared" si="35"/>
        <v>0</v>
      </c>
      <c r="S138" s="36"/>
      <c r="T138" s="38">
        <v>573</v>
      </c>
    </row>
    <row r="139" spans="2:20" ht="15.6" x14ac:dyDescent="0.3">
      <c r="B139" s="30">
        <f>+B138+1</f>
        <v>4</v>
      </c>
      <c r="C139" s="30" t="s">
        <v>214</v>
      </c>
      <c r="D139" s="31" t="s">
        <v>215</v>
      </c>
      <c r="E139" s="32">
        <v>45657</v>
      </c>
      <c r="F139" s="33">
        <v>2500</v>
      </c>
      <c r="G139" s="34">
        <v>10</v>
      </c>
      <c r="H139" s="35">
        <f t="shared" si="33"/>
        <v>250</v>
      </c>
      <c r="I139" s="33">
        <v>5432.7290000000003</v>
      </c>
      <c r="J139" s="33">
        <v>116428.253</v>
      </c>
      <c r="K139" s="33">
        <v>30968.83</v>
      </c>
      <c r="L139" s="33">
        <v>11.737</v>
      </c>
      <c r="M139" s="33">
        <v>2536.239</v>
      </c>
      <c r="N139" s="35">
        <f t="shared" si="34"/>
        <v>981.93399999999997</v>
      </c>
      <c r="O139" s="33">
        <v>1554.3050000000001</v>
      </c>
      <c r="P139" s="36">
        <f>10+10</f>
        <v>20</v>
      </c>
      <c r="Q139" s="36">
        <v>0</v>
      </c>
      <c r="R139" s="37">
        <f t="shared" si="35"/>
        <v>20</v>
      </c>
      <c r="S139" s="36"/>
      <c r="T139" s="38">
        <v>663</v>
      </c>
    </row>
    <row r="140" spans="2:20" ht="15.6" x14ac:dyDescent="0.3">
      <c r="B140" s="30">
        <f t="shared" ref="B140:B159" si="36">+B139+1</f>
        <v>5</v>
      </c>
      <c r="C140" s="30" t="s">
        <v>216</v>
      </c>
      <c r="D140" s="31" t="s">
        <v>217</v>
      </c>
      <c r="E140" s="32">
        <v>45657</v>
      </c>
      <c r="F140" s="33">
        <v>730.08243000000004</v>
      </c>
      <c r="G140" s="34">
        <v>10</v>
      </c>
      <c r="H140" s="35">
        <f t="shared" si="33"/>
        <v>73.008243000000007</v>
      </c>
      <c r="I140" s="33">
        <v>1037.202442</v>
      </c>
      <c r="J140" s="33">
        <v>2386.571406</v>
      </c>
      <c r="K140" s="33">
        <v>990.88006700000005</v>
      </c>
      <c r="L140" s="33">
        <v>12.981366</v>
      </c>
      <c r="M140" s="33">
        <v>243.083991</v>
      </c>
      <c r="N140" s="35">
        <f t="shared" si="34"/>
        <v>74.696761000000009</v>
      </c>
      <c r="O140" s="33">
        <v>168.38722999999999</v>
      </c>
      <c r="P140" s="36">
        <v>0</v>
      </c>
      <c r="Q140" s="36">
        <v>0</v>
      </c>
      <c r="R140" s="37">
        <f t="shared" si="35"/>
        <v>0</v>
      </c>
      <c r="S140" s="36"/>
      <c r="T140" s="38">
        <v>160</v>
      </c>
    </row>
    <row r="141" spans="2:20" ht="15.6" x14ac:dyDescent="0.3">
      <c r="B141" s="30">
        <f t="shared" si="36"/>
        <v>6</v>
      </c>
      <c r="C141" s="30" t="s">
        <v>218</v>
      </c>
      <c r="D141" s="31" t="s">
        <v>219</v>
      </c>
      <c r="E141" s="32">
        <v>45657</v>
      </c>
      <c r="F141" s="33">
        <v>1494.1569099999999</v>
      </c>
      <c r="G141" s="34">
        <v>10</v>
      </c>
      <c r="H141" s="35">
        <f t="shared" si="33"/>
        <v>149.41569099999998</v>
      </c>
      <c r="I141" s="33">
        <v>8167.3860000000004</v>
      </c>
      <c r="J141" s="33">
        <v>18090.048999999999</v>
      </c>
      <c r="K141" s="33">
        <v>2884.308</v>
      </c>
      <c r="L141" s="33">
        <v>12.811999999999999</v>
      </c>
      <c r="M141" s="33">
        <v>3111.2060000000001</v>
      </c>
      <c r="N141" s="35">
        <f t="shared" si="34"/>
        <v>1222.4440000000002</v>
      </c>
      <c r="O141" s="33">
        <v>1888.7619999999999</v>
      </c>
      <c r="P141" s="36">
        <f>25+60</f>
        <v>85</v>
      </c>
      <c r="Q141" s="36">
        <v>0</v>
      </c>
      <c r="R141" s="37">
        <f t="shared" si="35"/>
        <v>85</v>
      </c>
      <c r="S141" s="36"/>
      <c r="T141" s="38">
        <v>1135</v>
      </c>
    </row>
    <row r="142" spans="2:20" ht="15.6" x14ac:dyDescent="0.3">
      <c r="B142" s="30">
        <f t="shared" si="36"/>
        <v>7</v>
      </c>
      <c r="C142" s="30" t="s">
        <v>220</v>
      </c>
      <c r="D142" s="31" t="s">
        <v>221</v>
      </c>
      <c r="E142" s="32">
        <v>45657</v>
      </c>
      <c r="F142" s="33">
        <v>553.26482999999996</v>
      </c>
      <c r="G142" s="34">
        <v>10</v>
      </c>
      <c r="H142" s="35">
        <f t="shared" si="33"/>
        <v>55.326482999999996</v>
      </c>
      <c r="I142" s="33">
        <v>3262.7247630000002</v>
      </c>
      <c r="J142" s="33">
        <v>5848.3200310000002</v>
      </c>
      <c r="K142" s="33">
        <v>1359.542674</v>
      </c>
      <c r="L142" s="33">
        <v>7.1969789999999998</v>
      </c>
      <c r="M142" s="33">
        <v>941.90740200000005</v>
      </c>
      <c r="N142" s="35">
        <f t="shared" si="34"/>
        <v>357.235095</v>
      </c>
      <c r="O142" s="33">
        <v>584.67230700000005</v>
      </c>
      <c r="P142" s="36">
        <v>60</v>
      </c>
      <c r="Q142" s="36">
        <v>0</v>
      </c>
      <c r="R142" s="37">
        <f t="shared" si="35"/>
        <v>60</v>
      </c>
      <c r="S142" s="36"/>
      <c r="T142" s="38">
        <v>1114</v>
      </c>
    </row>
    <row r="143" spans="2:20" ht="15.6" x14ac:dyDescent="0.3">
      <c r="B143" s="30">
        <f t="shared" si="36"/>
        <v>8</v>
      </c>
      <c r="C143" s="30" t="s">
        <v>222</v>
      </c>
      <c r="D143" s="31" t="s">
        <v>223</v>
      </c>
      <c r="E143" s="32">
        <v>45657</v>
      </c>
      <c r="F143" s="33">
        <v>1076.9504099999999</v>
      </c>
      <c r="G143" s="34">
        <v>10</v>
      </c>
      <c r="H143" s="35">
        <f t="shared" si="33"/>
        <v>107.69504099999999</v>
      </c>
      <c r="I143" s="33">
        <v>1269.1630849999999</v>
      </c>
      <c r="J143" s="33">
        <v>1522.523739</v>
      </c>
      <c r="K143" s="33">
        <v>224.36926299999999</v>
      </c>
      <c r="L143" s="33">
        <v>0</v>
      </c>
      <c r="M143" s="33">
        <v>94.793053</v>
      </c>
      <c r="N143" s="35">
        <f t="shared" si="34"/>
        <v>7.6343339999999955</v>
      </c>
      <c r="O143" s="33">
        <v>87.158719000000005</v>
      </c>
      <c r="P143" s="36">
        <v>0</v>
      </c>
      <c r="Q143" s="36">
        <v>0</v>
      </c>
      <c r="R143" s="37">
        <f t="shared" si="35"/>
        <v>0</v>
      </c>
      <c r="S143" s="36">
        <v>38</v>
      </c>
      <c r="T143" s="38">
        <v>2112</v>
      </c>
    </row>
    <row r="144" spans="2:20" ht="15.6" x14ac:dyDescent="0.3">
      <c r="B144" s="30">
        <f t="shared" si="36"/>
        <v>9</v>
      </c>
      <c r="C144" s="30" t="s">
        <v>224</v>
      </c>
      <c r="D144" s="31" t="s">
        <v>225</v>
      </c>
      <c r="E144" s="32">
        <v>45657</v>
      </c>
      <c r="F144" s="33">
        <v>2000</v>
      </c>
      <c r="G144" s="34">
        <v>10</v>
      </c>
      <c r="H144" s="35">
        <f t="shared" si="33"/>
        <v>200</v>
      </c>
      <c r="I144" s="33">
        <v>24169.828000000001</v>
      </c>
      <c r="J144" s="33">
        <v>72398.872000000003</v>
      </c>
      <c r="K144" s="33">
        <v>14552.144</v>
      </c>
      <c r="L144" s="33">
        <v>17.984999999999999</v>
      </c>
      <c r="M144" s="33">
        <v>6082.0770000000002</v>
      </c>
      <c r="N144" s="35">
        <f t="shared" si="34"/>
        <v>2370.9490000000001</v>
      </c>
      <c r="O144" s="33">
        <v>3711.1280000000002</v>
      </c>
      <c r="P144" s="36">
        <f>15+15+15+55</f>
        <v>100</v>
      </c>
      <c r="Q144" s="36">
        <v>0</v>
      </c>
      <c r="R144" s="37">
        <f t="shared" si="35"/>
        <v>100</v>
      </c>
      <c r="S144" s="36"/>
      <c r="T144" s="38">
        <v>1510</v>
      </c>
    </row>
    <row r="145" spans="2:20" ht="15.6" x14ac:dyDescent="0.3">
      <c r="B145" s="30">
        <f t="shared" si="36"/>
        <v>10</v>
      </c>
      <c r="C145" s="54" t="s">
        <v>226</v>
      </c>
      <c r="D145" s="31" t="s">
        <v>227</v>
      </c>
      <c r="E145" s="32">
        <v>45657</v>
      </c>
      <c r="F145" s="33">
        <v>1050</v>
      </c>
      <c r="G145" s="34">
        <v>10</v>
      </c>
      <c r="H145" s="35">
        <f t="shared" si="33"/>
        <v>105</v>
      </c>
      <c r="I145" s="33">
        <v>9192.4240000000009</v>
      </c>
      <c r="J145" s="33">
        <v>259439.22899999999</v>
      </c>
      <c r="K145" s="33">
        <v>41671.713000000003</v>
      </c>
      <c r="L145" s="33">
        <v>74.194999999999993</v>
      </c>
      <c r="M145" s="33">
        <v>4961.2190000000001</v>
      </c>
      <c r="N145" s="35">
        <f t="shared" si="34"/>
        <v>1971.1669999999999</v>
      </c>
      <c r="O145" s="33">
        <v>2990.0520000000001</v>
      </c>
      <c r="P145" s="36">
        <f>15+15+15+105</f>
        <v>150</v>
      </c>
      <c r="Q145" s="36">
        <v>0</v>
      </c>
      <c r="R145" s="37">
        <f t="shared" si="35"/>
        <v>150</v>
      </c>
      <c r="S145" s="36"/>
      <c r="T145" s="38">
        <v>1020</v>
      </c>
    </row>
    <row r="146" spans="2:20" ht="15.6" x14ac:dyDescent="0.3">
      <c r="B146" s="30">
        <f t="shared" si="36"/>
        <v>11</v>
      </c>
      <c r="C146" s="30" t="s">
        <v>228</v>
      </c>
      <c r="D146" s="31" t="s">
        <v>229</v>
      </c>
      <c r="E146" s="32">
        <v>45657</v>
      </c>
      <c r="F146" s="33">
        <v>2558.7799500000001</v>
      </c>
      <c r="G146" s="34">
        <v>10</v>
      </c>
      <c r="H146" s="35">
        <f t="shared" si="33"/>
        <v>255.877995</v>
      </c>
      <c r="I146" s="33">
        <v>4671.2553969999999</v>
      </c>
      <c r="J146" s="33">
        <v>9807.1515589999999</v>
      </c>
      <c r="K146" s="33">
        <v>4304.030197</v>
      </c>
      <c r="L146" s="33">
        <v>7.2507619999999999</v>
      </c>
      <c r="M146" s="33">
        <v>1196.808172</v>
      </c>
      <c r="N146" s="35">
        <f t="shared" si="34"/>
        <v>223.95510999999999</v>
      </c>
      <c r="O146" s="33">
        <v>972.85306200000002</v>
      </c>
      <c r="P146" s="36">
        <v>0</v>
      </c>
      <c r="Q146" s="36">
        <f>10</f>
        <v>10</v>
      </c>
      <c r="R146" s="37">
        <f t="shared" si="35"/>
        <v>10</v>
      </c>
      <c r="S146" s="36">
        <v>15</v>
      </c>
      <c r="T146" s="38">
        <v>289</v>
      </c>
    </row>
    <row r="147" spans="2:20" ht="15.6" x14ac:dyDescent="0.3">
      <c r="B147" s="30">
        <f t="shared" si="36"/>
        <v>12</v>
      </c>
      <c r="C147" s="30" t="s">
        <v>230</v>
      </c>
      <c r="D147" s="31" t="s">
        <v>231</v>
      </c>
      <c r="E147" s="32">
        <v>45657</v>
      </c>
      <c r="F147" s="33">
        <v>619.37377500000002</v>
      </c>
      <c r="G147" s="34">
        <v>5</v>
      </c>
      <c r="H147" s="35">
        <f t="shared" si="33"/>
        <v>123.87475500000001</v>
      </c>
      <c r="I147" s="33">
        <v>2055.42</v>
      </c>
      <c r="J147" s="33">
        <v>6484.7129999999997</v>
      </c>
      <c r="K147" s="33">
        <v>1492.356</v>
      </c>
      <c r="L147" s="33">
        <v>8.0809999999999995</v>
      </c>
      <c r="M147" s="33">
        <v>375.54899999999998</v>
      </c>
      <c r="N147" s="35">
        <f t="shared" si="34"/>
        <v>138.69699999999997</v>
      </c>
      <c r="O147" s="33">
        <v>236.852</v>
      </c>
      <c r="P147" s="36">
        <v>20</v>
      </c>
      <c r="Q147" s="36">
        <v>0</v>
      </c>
      <c r="R147" s="37">
        <f t="shared" si="35"/>
        <v>20</v>
      </c>
      <c r="S147" s="36"/>
      <c r="T147" s="38">
        <v>2334</v>
      </c>
    </row>
    <row r="148" spans="2:20" ht="15.6" x14ac:dyDescent="0.3">
      <c r="B148" s="30">
        <f t="shared" si="36"/>
        <v>13</v>
      </c>
      <c r="C148" s="30" t="s">
        <v>232</v>
      </c>
      <c r="D148" s="31" t="s">
        <v>233</v>
      </c>
      <c r="E148" s="32">
        <v>45657</v>
      </c>
      <c r="F148" s="33">
        <v>1426.3054999999999</v>
      </c>
      <c r="G148" s="34">
        <v>10</v>
      </c>
      <c r="H148" s="35">
        <f t="shared" si="33"/>
        <v>142.63055</v>
      </c>
      <c r="I148" s="33">
        <v>15811.653</v>
      </c>
      <c r="J148" s="33">
        <v>16125.857</v>
      </c>
      <c r="K148" s="33">
        <v>1626.6210000000001</v>
      </c>
      <c r="L148" s="33">
        <v>125.584</v>
      </c>
      <c r="M148" s="33">
        <v>1332.653</v>
      </c>
      <c r="N148" s="35">
        <f t="shared" si="34"/>
        <v>-19.173000000000002</v>
      </c>
      <c r="O148" s="33">
        <v>1351.826</v>
      </c>
      <c r="P148" s="36">
        <f>20+40</f>
        <v>60</v>
      </c>
      <c r="Q148" s="36">
        <v>0</v>
      </c>
      <c r="R148" s="37">
        <f t="shared" si="35"/>
        <v>60</v>
      </c>
      <c r="S148" s="36"/>
      <c r="T148" s="38">
        <v>3005</v>
      </c>
    </row>
    <row r="149" spans="2:20" ht="15.6" x14ac:dyDescent="0.3">
      <c r="B149" s="30">
        <f t="shared" si="36"/>
        <v>14</v>
      </c>
      <c r="C149" s="30" t="s">
        <v>234</v>
      </c>
      <c r="D149" s="31" t="s">
        <v>235</v>
      </c>
      <c r="E149" s="32">
        <v>45657</v>
      </c>
      <c r="F149" s="33">
        <v>1705.672</v>
      </c>
      <c r="G149" s="34">
        <v>10</v>
      </c>
      <c r="H149" s="35">
        <f t="shared" si="33"/>
        <v>170.56720000000001</v>
      </c>
      <c r="I149" s="33">
        <v>2278.5839999999998</v>
      </c>
      <c r="J149" s="33">
        <v>39002.017999999996</v>
      </c>
      <c r="K149" s="33">
        <v>13492.975</v>
      </c>
      <c r="L149" s="33">
        <v>7.976</v>
      </c>
      <c r="M149" s="33">
        <v>402.10599999999999</v>
      </c>
      <c r="N149" s="35">
        <f t="shared" si="34"/>
        <v>123.20400000000001</v>
      </c>
      <c r="O149" s="33">
        <v>278.90199999999999</v>
      </c>
      <c r="P149" s="36">
        <v>0</v>
      </c>
      <c r="Q149" s="36">
        <v>0</v>
      </c>
      <c r="R149" s="37">
        <f t="shared" si="35"/>
        <v>0</v>
      </c>
      <c r="S149" s="36"/>
      <c r="T149" s="38">
        <v>853</v>
      </c>
    </row>
    <row r="150" spans="2:20" ht="15.6" x14ac:dyDescent="0.3">
      <c r="B150" s="30">
        <f t="shared" si="36"/>
        <v>15</v>
      </c>
      <c r="C150" s="30" t="s">
        <v>236</v>
      </c>
      <c r="D150" s="31" t="s">
        <v>237</v>
      </c>
      <c r="E150" s="32">
        <v>45657</v>
      </c>
      <c r="F150" s="33">
        <v>1984.912</v>
      </c>
      <c r="G150" s="34">
        <v>10</v>
      </c>
      <c r="H150" s="35">
        <f t="shared" si="33"/>
        <v>198.49119999999999</v>
      </c>
      <c r="I150" s="33">
        <v>18808.149000000001</v>
      </c>
      <c r="J150" s="33">
        <v>50368.247000000003</v>
      </c>
      <c r="K150" s="33">
        <v>7340.6229999999996</v>
      </c>
      <c r="L150" s="33">
        <v>0</v>
      </c>
      <c r="M150" s="33">
        <v>5818.2629999999999</v>
      </c>
      <c r="N150" s="35">
        <f t="shared" si="34"/>
        <v>2296.4449999999997</v>
      </c>
      <c r="O150" s="33">
        <v>3521.8180000000002</v>
      </c>
      <c r="P150" s="36">
        <v>55</v>
      </c>
      <c r="Q150" s="36">
        <v>0</v>
      </c>
      <c r="R150" s="37">
        <f t="shared" si="35"/>
        <v>55</v>
      </c>
      <c r="S150" s="36"/>
      <c r="T150" s="38">
        <v>1859</v>
      </c>
    </row>
    <row r="151" spans="2:20" ht="15.6" x14ac:dyDescent="0.3">
      <c r="B151" s="30">
        <f t="shared" si="36"/>
        <v>16</v>
      </c>
      <c r="C151" s="54" t="s">
        <v>238</v>
      </c>
      <c r="D151" s="31" t="s">
        <v>239</v>
      </c>
      <c r="E151" s="32">
        <v>45657</v>
      </c>
      <c r="F151" s="33">
        <v>1003.534</v>
      </c>
      <c r="G151" s="34">
        <v>10</v>
      </c>
      <c r="H151" s="35">
        <f t="shared" si="33"/>
        <v>100.35339999999999</v>
      </c>
      <c r="I151" s="33">
        <v>202413</v>
      </c>
      <c r="J151" s="33">
        <v>236764.098</v>
      </c>
      <c r="K151" s="33">
        <v>48712.612999999998</v>
      </c>
      <c r="L151" s="33">
        <v>203.333</v>
      </c>
      <c r="M151" s="33">
        <v>4324.9369999999999</v>
      </c>
      <c r="N151" s="35">
        <f t="shared" si="34"/>
        <v>1751.0529999999999</v>
      </c>
      <c r="O151" s="33">
        <v>2573.884</v>
      </c>
      <c r="P151" s="36">
        <f>30+100</f>
        <v>130</v>
      </c>
      <c r="Q151" s="36">
        <v>0</v>
      </c>
      <c r="R151" s="37">
        <f t="shared" si="35"/>
        <v>130</v>
      </c>
      <c r="S151" s="36"/>
      <c r="T151" s="38">
        <v>1579</v>
      </c>
    </row>
    <row r="152" spans="2:20" ht="15.6" x14ac:dyDescent="0.3">
      <c r="B152" s="30">
        <f t="shared" si="36"/>
        <v>17</v>
      </c>
      <c r="C152" s="30" t="s">
        <v>240</v>
      </c>
      <c r="D152" s="31" t="s">
        <v>241</v>
      </c>
      <c r="E152" s="32">
        <v>45657</v>
      </c>
      <c r="F152" s="33">
        <v>9000</v>
      </c>
      <c r="G152" s="34">
        <v>10</v>
      </c>
      <c r="H152" s="35">
        <f t="shared" si="33"/>
        <v>900</v>
      </c>
      <c r="I152" s="33">
        <v>21202.857261000001</v>
      </c>
      <c r="J152" s="33">
        <v>69079.964000000007</v>
      </c>
      <c r="K152" s="33">
        <v>10854.927766999999</v>
      </c>
      <c r="L152" s="33">
        <v>9.2226759999999999</v>
      </c>
      <c r="M152" s="33">
        <v>6793.4088959999999</v>
      </c>
      <c r="N152" s="35">
        <f t="shared" si="34"/>
        <v>3015.0940409999998</v>
      </c>
      <c r="O152" s="33">
        <v>3778.3148550000001</v>
      </c>
      <c r="P152" s="36">
        <v>0</v>
      </c>
      <c r="Q152" s="36">
        <v>0</v>
      </c>
      <c r="R152" s="37">
        <f t="shared" si="35"/>
        <v>0</v>
      </c>
      <c r="S152" s="36"/>
      <c r="T152" s="38">
        <v>3680</v>
      </c>
    </row>
    <row r="153" spans="2:20" ht="15.6" x14ac:dyDescent="0.3">
      <c r="B153" s="30">
        <f t="shared" si="36"/>
        <v>18</v>
      </c>
      <c r="C153" s="30" t="s">
        <v>242</v>
      </c>
      <c r="D153" s="31" t="s">
        <v>243</v>
      </c>
      <c r="E153" s="32">
        <v>45657</v>
      </c>
      <c r="F153" s="33">
        <v>505.65</v>
      </c>
      <c r="G153" s="34">
        <v>10</v>
      </c>
      <c r="H153" s="35">
        <f t="shared" si="33"/>
        <v>50.564999999999998</v>
      </c>
      <c r="I153" s="33">
        <v>1199.0509999999999</v>
      </c>
      <c r="J153" s="33">
        <v>3005.67</v>
      </c>
      <c r="K153" s="33">
        <v>269.73200000000003</v>
      </c>
      <c r="L153" s="33">
        <v>1.4390000000000001</v>
      </c>
      <c r="M153" s="33">
        <v>68.003</v>
      </c>
      <c r="N153" s="35">
        <f t="shared" si="34"/>
        <v>-1.0559999999999974</v>
      </c>
      <c r="O153" s="33">
        <v>69.058999999999997</v>
      </c>
      <c r="P153" s="36">
        <v>0</v>
      </c>
      <c r="Q153" s="36">
        <v>0</v>
      </c>
      <c r="R153" s="37">
        <f t="shared" si="35"/>
        <v>0</v>
      </c>
      <c r="S153" s="36"/>
      <c r="T153" s="38">
        <v>1934</v>
      </c>
    </row>
    <row r="154" spans="2:20" ht="15.6" x14ac:dyDescent="0.3">
      <c r="B154" s="30">
        <f t="shared" si="36"/>
        <v>19</v>
      </c>
      <c r="C154" s="30" t="s">
        <v>244</v>
      </c>
      <c r="D154" s="31" t="s">
        <v>245</v>
      </c>
      <c r="E154" s="32">
        <v>45657</v>
      </c>
      <c r="F154" s="33"/>
      <c r="G154" s="34">
        <v>10</v>
      </c>
      <c r="H154" s="35">
        <f>+F154/G154</f>
        <v>0</v>
      </c>
      <c r="I154" s="33"/>
      <c r="J154" s="33"/>
      <c r="K154" s="33"/>
      <c r="L154" s="33"/>
      <c r="M154" s="33"/>
      <c r="N154" s="35">
        <f>+M154-O154</f>
        <v>0</v>
      </c>
      <c r="O154" s="33"/>
      <c r="P154" s="36"/>
      <c r="Q154" s="36"/>
      <c r="R154" s="37">
        <f>SUM(P154:Q154)</f>
        <v>0</v>
      </c>
      <c r="S154" s="36"/>
      <c r="T154" s="38"/>
    </row>
    <row r="155" spans="2:20" ht="15.6" x14ac:dyDescent="0.3">
      <c r="B155" s="30">
        <f t="shared" si="36"/>
        <v>20</v>
      </c>
      <c r="C155" s="30" t="s">
        <v>246</v>
      </c>
      <c r="D155" s="31" t="s">
        <v>247</v>
      </c>
      <c r="E155" s="32">
        <v>45657</v>
      </c>
      <c r="F155" s="33">
        <v>665.37949000000003</v>
      </c>
      <c r="G155" s="34">
        <v>10</v>
      </c>
      <c r="H155" s="35">
        <f t="shared" si="33"/>
        <v>66.537948999999998</v>
      </c>
      <c r="I155" s="33">
        <v>1572.43137</v>
      </c>
      <c r="J155" s="33">
        <v>2945.0202519999998</v>
      </c>
      <c r="K155" s="33">
        <v>546.49579200000005</v>
      </c>
      <c r="L155" s="33">
        <v>0</v>
      </c>
      <c r="M155" s="33">
        <v>436.16955000000002</v>
      </c>
      <c r="N155" s="35">
        <f t="shared" si="34"/>
        <v>134.31681500000002</v>
      </c>
      <c r="O155" s="33">
        <v>301.852735</v>
      </c>
      <c r="P155" s="36">
        <v>0</v>
      </c>
      <c r="Q155" s="36">
        <v>51</v>
      </c>
      <c r="R155" s="37">
        <f t="shared" si="35"/>
        <v>51</v>
      </c>
      <c r="S155" s="36"/>
      <c r="T155" s="38">
        <v>1154</v>
      </c>
    </row>
    <row r="156" spans="2:20" ht="15.6" x14ac:dyDescent="0.3">
      <c r="B156" s="30">
        <f t="shared" si="36"/>
        <v>21</v>
      </c>
      <c r="C156" s="30" t="s">
        <v>248</v>
      </c>
      <c r="D156" s="31" t="s">
        <v>249</v>
      </c>
      <c r="E156" s="32">
        <v>45657</v>
      </c>
      <c r="F156" s="33">
        <v>645</v>
      </c>
      <c r="G156" s="34">
        <v>10</v>
      </c>
      <c r="H156" s="35">
        <f t="shared" si="33"/>
        <v>64.5</v>
      </c>
      <c r="I156" s="33">
        <v>1007.6972500000001</v>
      </c>
      <c r="J156" s="33">
        <v>2034.0106659999999</v>
      </c>
      <c r="K156" s="33">
        <v>921.35590300000001</v>
      </c>
      <c r="L156" s="33">
        <v>3.1174580000000001</v>
      </c>
      <c r="M156" s="33">
        <v>238.80448100000001</v>
      </c>
      <c r="N156" s="35">
        <f t="shared" si="34"/>
        <v>73.535110000000003</v>
      </c>
      <c r="O156" s="33">
        <v>165.26937100000001</v>
      </c>
      <c r="P156" s="36">
        <v>0</v>
      </c>
      <c r="Q156" s="36">
        <v>25</v>
      </c>
      <c r="R156" s="37">
        <f t="shared" si="35"/>
        <v>25</v>
      </c>
      <c r="S156" s="36"/>
      <c r="T156" s="38">
        <v>731</v>
      </c>
    </row>
    <row r="157" spans="2:20" ht="15.6" x14ac:dyDescent="0.3">
      <c r="B157" s="30">
        <f t="shared" si="36"/>
        <v>22</v>
      </c>
      <c r="C157" s="30" t="s">
        <v>250</v>
      </c>
      <c r="D157" s="31" t="s">
        <v>251</v>
      </c>
      <c r="E157" s="32">
        <v>45657</v>
      </c>
      <c r="F157" s="33">
        <v>1983.94462</v>
      </c>
      <c r="G157" s="34">
        <v>10</v>
      </c>
      <c r="H157" s="35">
        <f t="shared" si="33"/>
        <v>198.394462</v>
      </c>
      <c r="I157" s="33">
        <v>2742.8288480000001</v>
      </c>
      <c r="J157" s="33">
        <v>7939.0010279999997</v>
      </c>
      <c r="K157" s="33">
        <v>3424.1443650000001</v>
      </c>
      <c r="L157" s="33">
        <v>28.984846000000001</v>
      </c>
      <c r="M157" s="33">
        <v>115.601963</v>
      </c>
      <c r="N157" s="35">
        <f t="shared" si="34"/>
        <v>43.974181000000002</v>
      </c>
      <c r="O157" s="33">
        <v>71.627781999999996</v>
      </c>
      <c r="P157" s="36">
        <v>0</v>
      </c>
      <c r="Q157" s="36">
        <v>0</v>
      </c>
      <c r="R157" s="37">
        <f t="shared" si="35"/>
        <v>0</v>
      </c>
      <c r="S157" s="36"/>
      <c r="T157" s="38">
        <v>866</v>
      </c>
    </row>
    <row r="158" spans="2:20" ht="15.6" x14ac:dyDescent="0.3">
      <c r="B158" s="30">
        <f t="shared" si="36"/>
        <v>23</v>
      </c>
      <c r="C158" s="30" t="s">
        <v>252</v>
      </c>
      <c r="D158" s="31" t="s">
        <v>253</v>
      </c>
      <c r="E158" s="32">
        <v>45657</v>
      </c>
      <c r="F158" s="33">
        <v>3467.5</v>
      </c>
      <c r="G158" s="34">
        <v>10</v>
      </c>
      <c r="H158" s="35">
        <f t="shared" si="33"/>
        <v>346.75</v>
      </c>
      <c r="I158" s="33">
        <v>5436.030831</v>
      </c>
      <c r="J158" s="33">
        <v>16053.484489</v>
      </c>
      <c r="K158" s="33">
        <v>5135.3038999999999</v>
      </c>
      <c r="L158" s="33">
        <v>15.546616</v>
      </c>
      <c r="M158" s="33">
        <v>2792.5064990000001</v>
      </c>
      <c r="N158" s="35">
        <f t="shared" si="34"/>
        <v>765.56162400000017</v>
      </c>
      <c r="O158" s="33">
        <v>2026.9448749999999</v>
      </c>
      <c r="P158" s="36">
        <f>20</f>
        <v>20</v>
      </c>
      <c r="Q158" s="36">
        <v>20</v>
      </c>
      <c r="R158" s="37">
        <f t="shared" si="35"/>
        <v>40</v>
      </c>
      <c r="S158" s="36"/>
      <c r="T158" s="38">
        <v>1314</v>
      </c>
    </row>
    <row r="159" spans="2:20" ht="15.6" x14ac:dyDescent="0.3">
      <c r="B159" s="30">
        <f t="shared" si="36"/>
        <v>24</v>
      </c>
      <c r="C159" s="30" t="s">
        <v>254</v>
      </c>
      <c r="D159" s="31" t="s">
        <v>255</v>
      </c>
      <c r="E159" s="32">
        <v>45657</v>
      </c>
      <c r="F159" s="33">
        <v>500</v>
      </c>
      <c r="G159" s="34">
        <v>10</v>
      </c>
      <c r="H159" s="35">
        <f t="shared" si="33"/>
        <v>50</v>
      </c>
      <c r="I159" s="33">
        <v>668.89300000000003</v>
      </c>
      <c r="J159" s="33">
        <v>851.44100000000003</v>
      </c>
      <c r="K159" s="33">
        <v>20.018000000000001</v>
      </c>
      <c r="L159" s="33">
        <v>0</v>
      </c>
      <c r="M159" s="33">
        <v>-12.972</v>
      </c>
      <c r="N159" s="35">
        <f t="shared" si="34"/>
        <v>-8.1269999999999989</v>
      </c>
      <c r="O159" s="33">
        <v>-4.8449999999999998</v>
      </c>
      <c r="P159" s="36">
        <v>0</v>
      </c>
      <c r="Q159" s="36">
        <v>0</v>
      </c>
      <c r="R159" s="37">
        <f t="shared" si="35"/>
        <v>0</v>
      </c>
      <c r="S159" s="36"/>
      <c r="T159" s="38">
        <v>876</v>
      </c>
    </row>
    <row r="160" spans="2:20" ht="15.6" x14ac:dyDescent="0.3">
      <c r="B160" s="25"/>
      <c r="C160" s="25"/>
      <c r="D160" s="25"/>
      <c r="E160" s="25"/>
      <c r="F160" s="25"/>
      <c r="G160" s="40"/>
      <c r="H160" s="41"/>
      <c r="I160" s="27"/>
      <c r="J160" s="27"/>
      <c r="K160" s="27"/>
      <c r="L160" s="27"/>
      <c r="M160" s="27"/>
      <c r="N160" s="42"/>
      <c r="O160" s="27"/>
      <c r="P160" s="27"/>
      <c r="Q160" s="27"/>
      <c r="R160" s="42"/>
      <c r="S160" s="27"/>
      <c r="T160" s="27"/>
    </row>
    <row r="161" spans="2:20" ht="18" x14ac:dyDescent="0.35">
      <c r="B161" s="25"/>
      <c r="C161" s="25"/>
      <c r="D161" s="39" t="s">
        <v>1127</v>
      </c>
      <c r="E161" s="25"/>
      <c r="F161" s="25"/>
      <c r="G161" s="40"/>
      <c r="H161" s="41"/>
      <c r="I161" s="27"/>
      <c r="J161" s="27"/>
      <c r="K161" s="27"/>
      <c r="L161" s="27"/>
      <c r="M161" s="27"/>
      <c r="N161" s="42"/>
      <c r="O161" s="27"/>
      <c r="P161" s="27"/>
      <c r="Q161" s="27"/>
      <c r="R161" s="42"/>
      <c r="S161" s="27"/>
      <c r="T161" s="27"/>
    </row>
    <row r="162" spans="2:20" ht="15.6" x14ac:dyDescent="0.3">
      <c r="B162" s="30">
        <v>1</v>
      </c>
      <c r="C162" s="30" t="s">
        <v>256</v>
      </c>
      <c r="D162" s="31" t="s">
        <v>257</v>
      </c>
      <c r="E162" s="32">
        <v>45657</v>
      </c>
      <c r="F162" s="33"/>
      <c r="G162" s="34">
        <v>10</v>
      </c>
      <c r="H162" s="35">
        <f t="shared" ref="H162:H166" si="37">+F162/G162</f>
        <v>0</v>
      </c>
      <c r="I162" s="33"/>
      <c r="J162" s="33"/>
      <c r="K162" s="33"/>
      <c r="L162" s="33"/>
      <c r="M162" s="33"/>
      <c r="N162" s="35">
        <f t="shared" ref="N162:N166" si="38">+M162-O162</f>
        <v>0</v>
      </c>
      <c r="O162" s="33"/>
      <c r="P162" s="36"/>
      <c r="Q162" s="36"/>
      <c r="R162" s="37">
        <f t="shared" ref="R162:R166" si="39">SUM(P162:Q162)</f>
        <v>0</v>
      </c>
      <c r="S162" s="36"/>
      <c r="T162" s="38"/>
    </row>
    <row r="163" spans="2:20" ht="15.6" x14ac:dyDescent="0.3">
      <c r="B163" s="30">
        <f>+B162+1</f>
        <v>2</v>
      </c>
      <c r="C163" s="30" t="s">
        <v>258</v>
      </c>
      <c r="D163" s="31" t="s">
        <v>259</v>
      </c>
      <c r="E163" s="32">
        <v>45657</v>
      </c>
      <c r="F163" s="33">
        <v>350</v>
      </c>
      <c r="G163" s="34">
        <v>10</v>
      </c>
      <c r="H163" s="35">
        <f t="shared" si="37"/>
        <v>35</v>
      </c>
      <c r="I163" s="33">
        <v>-10.974</v>
      </c>
      <c r="J163" s="33">
        <v>105.307</v>
      </c>
      <c r="K163" s="33">
        <v>0</v>
      </c>
      <c r="L163" s="33">
        <v>0</v>
      </c>
      <c r="M163" s="33">
        <v>5.218</v>
      </c>
      <c r="N163" s="35">
        <f t="shared" si="38"/>
        <v>1.8820000000000001</v>
      </c>
      <c r="O163" s="33">
        <v>3.3359999999999999</v>
      </c>
      <c r="P163" s="36">
        <v>0</v>
      </c>
      <c r="Q163" s="36">
        <v>0</v>
      </c>
      <c r="R163" s="37">
        <f t="shared" si="39"/>
        <v>0</v>
      </c>
      <c r="S163" s="36"/>
      <c r="T163" s="38">
        <v>3296</v>
      </c>
    </row>
    <row r="164" spans="2:20" ht="15.6" x14ac:dyDescent="0.3">
      <c r="B164" s="30">
        <f>+B163+1</f>
        <v>3</v>
      </c>
      <c r="C164" s="30" t="s">
        <v>260</v>
      </c>
      <c r="D164" s="31" t="s">
        <v>261</v>
      </c>
      <c r="E164" s="32">
        <v>45657</v>
      </c>
      <c r="F164" s="33"/>
      <c r="G164" s="34">
        <v>10</v>
      </c>
      <c r="H164" s="35">
        <f t="shared" si="37"/>
        <v>0</v>
      </c>
      <c r="I164" s="33"/>
      <c r="J164" s="33"/>
      <c r="K164" s="33"/>
      <c r="L164" s="33"/>
      <c r="M164" s="33"/>
      <c r="N164" s="35">
        <f t="shared" si="38"/>
        <v>0</v>
      </c>
      <c r="O164" s="33"/>
      <c r="P164" s="36"/>
      <c r="Q164" s="36"/>
      <c r="R164" s="37">
        <f t="shared" si="39"/>
        <v>0</v>
      </c>
      <c r="S164" s="36"/>
      <c r="T164" s="38"/>
    </row>
    <row r="165" spans="2:20" ht="15.6" x14ac:dyDescent="0.3">
      <c r="B165" s="30">
        <f t="shared" ref="B165:B166" si="40">+B164+1</f>
        <v>4</v>
      </c>
      <c r="C165" s="30" t="s">
        <v>262</v>
      </c>
      <c r="D165" s="31" t="s">
        <v>263</v>
      </c>
      <c r="E165" s="32">
        <v>45657</v>
      </c>
      <c r="F165" s="33"/>
      <c r="G165" s="34">
        <v>10</v>
      </c>
      <c r="H165" s="35">
        <f t="shared" si="37"/>
        <v>0</v>
      </c>
      <c r="I165" s="33"/>
      <c r="J165" s="33"/>
      <c r="K165" s="33"/>
      <c r="L165" s="33"/>
      <c r="M165" s="33"/>
      <c r="N165" s="35">
        <f t="shared" si="38"/>
        <v>0</v>
      </c>
      <c r="O165" s="33"/>
      <c r="P165" s="36"/>
      <c r="Q165" s="36"/>
      <c r="R165" s="37">
        <f t="shared" si="39"/>
        <v>0</v>
      </c>
      <c r="S165" s="36"/>
      <c r="T165" s="38"/>
    </row>
    <row r="166" spans="2:20" ht="15.6" x14ac:dyDescent="0.3">
      <c r="B166" s="30">
        <f t="shared" si="40"/>
        <v>5</v>
      </c>
      <c r="C166" s="30" t="s">
        <v>264</v>
      </c>
      <c r="D166" s="31" t="s">
        <v>265</v>
      </c>
      <c r="E166" s="32">
        <v>45657</v>
      </c>
      <c r="F166" s="33"/>
      <c r="G166" s="34">
        <v>10</v>
      </c>
      <c r="H166" s="35">
        <f t="shared" si="37"/>
        <v>0</v>
      </c>
      <c r="I166" s="33"/>
      <c r="J166" s="33"/>
      <c r="K166" s="33"/>
      <c r="L166" s="33"/>
      <c r="M166" s="33"/>
      <c r="N166" s="35">
        <f t="shared" si="38"/>
        <v>0</v>
      </c>
      <c r="O166" s="33"/>
      <c r="P166" s="36"/>
      <c r="Q166" s="36"/>
      <c r="R166" s="37">
        <f t="shared" si="39"/>
        <v>0</v>
      </c>
      <c r="S166" s="36"/>
      <c r="T166" s="38"/>
    </row>
    <row r="167" spans="2:20" ht="15.6" x14ac:dyDescent="0.3">
      <c r="B167" s="25"/>
      <c r="C167" s="25"/>
      <c r="D167" s="25"/>
      <c r="E167" s="25"/>
      <c r="F167" s="25"/>
      <c r="G167" s="40"/>
      <c r="H167" s="41"/>
      <c r="I167" s="27"/>
      <c r="J167" s="27"/>
      <c r="K167" s="27"/>
      <c r="L167" s="27"/>
      <c r="M167" s="27"/>
      <c r="N167" s="42"/>
      <c r="O167" s="27"/>
      <c r="P167" s="27"/>
      <c r="Q167" s="27"/>
      <c r="R167" s="42"/>
      <c r="S167" s="27"/>
      <c r="T167" s="27"/>
    </row>
    <row r="168" spans="2:20" ht="15.6" x14ac:dyDescent="0.3">
      <c r="B168" s="44">
        <f>COUNT(B136:B167)</f>
        <v>29</v>
      </c>
      <c r="C168" s="44"/>
      <c r="D168" s="45"/>
      <c r="E168" s="45"/>
      <c r="F168" s="45">
        <f>SUM(F136:F167)</f>
        <v>41541.245035</v>
      </c>
      <c r="G168" s="46"/>
      <c r="H168" s="47">
        <f t="shared" ref="H168:O168" si="41">SUM(H136:H167)</f>
        <v>4216.0618810000005</v>
      </c>
      <c r="I168" s="45">
        <f t="shared" si="41"/>
        <v>376695.19224700006</v>
      </c>
      <c r="J168" s="45">
        <f t="shared" si="41"/>
        <v>1057182.9461700001</v>
      </c>
      <c r="K168" s="45">
        <f t="shared" si="41"/>
        <v>223197.28692800002</v>
      </c>
      <c r="L168" s="45">
        <f t="shared" si="41"/>
        <v>576.57070299999987</v>
      </c>
      <c r="M168" s="45">
        <f t="shared" si="41"/>
        <v>49644.619006999994</v>
      </c>
      <c r="N168" s="48">
        <f t="shared" si="41"/>
        <v>18591.234071000003</v>
      </c>
      <c r="O168" s="45">
        <f t="shared" si="41"/>
        <v>31053.384935999995</v>
      </c>
      <c r="P168" s="49"/>
      <c r="Q168" s="49"/>
      <c r="R168" s="50"/>
      <c r="S168" s="49"/>
      <c r="T168" s="51">
        <f>SUM(T136:T167)</f>
        <v>38213</v>
      </c>
    </row>
    <row r="169" spans="2:20" ht="15.6" x14ac:dyDescent="0.3">
      <c r="B169" s="25"/>
      <c r="C169" s="25"/>
      <c r="D169" s="25"/>
      <c r="E169" s="25"/>
      <c r="F169" s="25"/>
      <c r="G169" s="40"/>
      <c r="H169" s="41"/>
      <c r="I169" s="27"/>
      <c r="J169" s="27"/>
      <c r="K169" s="27"/>
      <c r="L169" s="27"/>
      <c r="M169" s="27"/>
      <c r="N169" s="42"/>
      <c r="O169" s="27"/>
      <c r="P169" s="27"/>
      <c r="Q169" s="27"/>
      <c r="R169" s="42"/>
      <c r="S169" s="27"/>
      <c r="T169" s="27"/>
    </row>
    <row r="170" spans="2:20" ht="15.6" x14ac:dyDescent="0.3">
      <c r="B170" s="25"/>
      <c r="C170" s="25"/>
      <c r="D170" s="25"/>
      <c r="E170" s="25"/>
      <c r="F170" s="25"/>
      <c r="G170" s="40"/>
      <c r="H170" s="41"/>
      <c r="I170" s="27"/>
      <c r="J170" s="27"/>
      <c r="K170" s="27"/>
      <c r="L170" s="27"/>
      <c r="M170" s="27"/>
      <c r="N170" s="42"/>
      <c r="O170" s="27"/>
      <c r="P170" s="27"/>
      <c r="Q170" s="27"/>
      <c r="R170" s="42"/>
      <c r="S170" s="27"/>
      <c r="T170" s="27"/>
    </row>
    <row r="171" spans="2:20" ht="18" x14ac:dyDescent="0.35">
      <c r="B171" s="25"/>
      <c r="C171" s="29">
        <v>7</v>
      </c>
      <c r="D171" s="29" t="s">
        <v>266</v>
      </c>
      <c r="E171" s="55"/>
      <c r="F171" s="55"/>
      <c r="G171" s="40"/>
      <c r="H171" s="41"/>
      <c r="I171" s="27"/>
      <c r="J171" s="27"/>
      <c r="K171" s="27"/>
      <c r="L171" s="27"/>
      <c r="M171" s="27"/>
      <c r="N171" s="42"/>
      <c r="O171" s="27"/>
      <c r="P171" s="27"/>
      <c r="Q171" s="27"/>
      <c r="R171" s="42"/>
      <c r="S171" s="27"/>
      <c r="T171" s="27"/>
    </row>
    <row r="172" spans="2:20" ht="15.6" x14ac:dyDescent="0.3">
      <c r="B172" s="25"/>
      <c r="C172" s="25"/>
      <c r="D172" s="25"/>
      <c r="E172" s="25"/>
      <c r="F172" s="25"/>
      <c r="G172" s="40"/>
      <c r="H172" s="41"/>
      <c r="I172" s="27"/>
      <c r="J172" s="27"/>
      <c r="K172" s="27"/>
      <c r="L172" s="27"/>
      <c r="M172" s="27"/>
      <c r="N172" s="42"/>
      <c r="O172" s="27"/>
      <c r="P172" s="27"/>
      <c r="Q172" s="27"/>
      <c r="R172" s="42"/>
      <c r="S172" s="27"/>
      <c r="T172" s="27"/>
    </row>
    <row r="173" spans="2:20" ht="15.6" x14ac:dyDescent="0.3">
      <c r="B173" s="54">
        <v>1</v>
      </c>
      <c r="C173" s="54" t="s">
        <v>267</v>
      </c>
      <c r="D173" s="31" t="s">
        <v>268</v>
      </c>
      <c r="E173" s="32">
        <v>45473</v>
      </c>
      <c r="F173" s="33">
        <f>2223.7*G173</f>
        <v>22237</v>
      </c>
      <c r="G173" s="34">
        <v>10</v>
      </c>
      <c r="H173" s="35">
        <f>+F173/G173</f>
        <v>2223.6999999999998</v>
      </c>
      <c r="I173" s="33">
        <v>73189.001999999993</v>
      </c>
      <c r="J173" s="33">
        <v>74054.968999999997</v>
      </c>
      <c r="K173" s="33">
        <v>5158.5969999999998</v>
      </c>
      <c r="L173" s="33">
        <v>0</v>
      </c>
      <c r="M173" s="33">
        <v>8140.0550000000003</v>
      </c>
      <c r="N173" s="35">
        <f>+M173-O173</f>
        <v>0</v>
      </c>
      <c r="O173" s="33">
        <v>8140.0550000000003</v>
      </c>
      <c r="P173" s="36">
        <f>5+5+5+5</f>
        <v>20</v>
      </c>
      <c r="Q173" s="36">
        <v>0</v>
      </c>
      <c r="R173" s="37">
        <f>SUM(P173:Q173)</f>
        <v>20</v>
      </c>
      <c r="S173" s="36"/>
      <c r="T173" s="38">
        <v>5760</v>
      </c>
    </row>
    <row r="174" spans="2:20" ht="15.6" x14ac:dyDescent="0.3">
      <c r="B174" s="54">
        <f>+B173+1</f>
        <v>2</v>
      </c>
      <c r="C174" s="54" t="s">
        <v>269</v>
      </c>
      <c r="D174" s="31" t="s">
        <v>270</v>
      </c>
      <c r="E174" s="32">
        <v>45473</v>
      </c>
      <c r="F174" s="33">
        <v>1400</v>
      </c>
      <c r="G174" s="34">
        <v>10</v>
      </c>
      <c r="H174" s="35">
        <f>+F174/G174</f>
        <v>140</v>
      </c>
      <c r="I174" s="33">
        <v>1687.405</v>
      </c>
      <c r="J174" s="33">
        <v>4789.9669999999996</v>
      </c>
      <c r="K174" s="33">
        <v>3036.5639999999999</v>
      </c>
      <c r="L174" s="33">
        <v>0</v>
      </c>
      <c r="M174" s="33">
        <v>233.28700000000001</v>
      </c>
      <c r="N174" s="35">
        <f>+M174-O174</f>
        <v>-18.627999999999986</v>
      </c>
      <c r="O174" s="33">
        <v>251.91499999999999</v>
      </c>
      <c r="P174" s="36">
        <v>17.5</v>
      </c>
      <c r="Q174" s="36">
        <v>0</v>
      </c>
      <c r="R174" s="37">
        <f>SUM(P174:Q174)</f>
        <v>17.5</v>
      </c>
      <c r="S174" s="36"/>
      <c r="T174" s="38">
        <v>1324</v>
      </c>
    </row>
    <row r="175" spans="2:20" ht="15.6" x14ac:dyDescent="0.3">
      <c r="B175" s="54">
        <f>+B174+1</f>
        <v>3</v>
      </c>
      <c r="C175" s="54" t="s">
        <v>271</v>
      </c>
      <c r="D175" s="31" t="s">
        <v>272</v>
      </c>
      <c r="E175" s="32">
        <v>45473</v>
      </c>
      <c r="F175" s="33">
        <v>18350</v>
      </c>
      <c r="G175" s="34">
        <v>10</v>
      </c>
      <c r="H175" s="35">
        <f>+F175/G175</f>
        <v>1835</v>
      </c>
      <c r="I175" s="33">
        <v>32800.525999999998</v>
      </c>
      <c r="J175" s="33">
        <f>34668.398+34879.489</f>
        <v>69547.887000000002</v>
      </c>
      <c r="K175" s="33">
        <v>1039.46</v>
      </c>
      <c r="L175" s="33">
        <v>0</v>
      </c>
      <c r="M175" s="33">
        <v>376.37299999999999</v>
      </c>
      <c r="N175" s="35">
        <f>+M175-O175</f>
        <v>0</v>
      </c>
      <c r="O175" s="33">
        <v>376.37299999999999</v>
      </c>
      <c r="P175" s="36">
        <v>0</v>
      </c>
      <c r="Q175" s="36">
        <v>0</v>
      </c>
      <c r="R175" s="37">
        <f>SUM(P175:Q175)</f>
        <v>0</v>
      </c>
      <c r="S175" s="36"/>
      <c r="T175" s="38"/>
    </row>
    <row r="176" spans="2:20" ht="15.6" x14ac:dyDescent="0.3">
      <c r="B176" s="25"/>
      <c r="C176" s="25"/>
      <c r="D176" s="25"/>
      <c r="E176" s="25"/>
      <c r="F176" s="25"/>
      <c r="G176" s="40"/>
      <c r="H176" s="41"/>
      <c r="I176" s="27"/>
      <c r="J176" s="27"/>
      <c r="K176" s="27"/>
      <c r="L176" s="27"/>
      <c r="M176" s="27"/>
      <c r="N176" s="42"/>
      <c r="O176" s="27"/>
      <c r="P176" s="27"/>
      <c r="Q176" s="27"/>
      <c r="R176" s="42"/>
      <c r="S176" s="27"/>
      <c r="T176" s="27"/>
    </row>
    <row r="177" spans="2:20" ht="15.6" x14ac:dyDescent="0.3">
      <c r="B177" s="44">
        <f>COUNT(B173:B176)</f>
        <v>3</v>
      </c>
      <c r="C177" s="44"/>
      <c r="D177" s="45"/>
      <c r="E177" s="45"/>
      <c r="F177" s="45">
        <f>SUM(F173:F176)</f>
        <v>41987</v>
      </c>
      <c r="G177" s="46"/>
      <c r="H177" s="47">
        <f t="shared" ref="H177:O177" si="42">SUM(H173:H176)</f>
        <v>4198.7</v>
      </c>
      <c r="I177" s="45">
        <f t="shared" si="42"/>
        <v>107676.93299999999</v>
      </c>
      <c r="J177" s="45">
        <f t="shared" si="42"/>
        <v>148392.823</v>
      </c>
      <c r="K177" s="45">
        <f t="shared" si="42"/>
        <v>9234.6209999999992</v>
      </c>
      <c r="L177" s="45">
        <f t="shared" si="42"/>
        <v>0</v>
      </c>
      <c r="M177" s="45">
        <f t="shared" si="42"/>
        <v>8749.7150000000001</v>
      </c>
      <c r="N177" s="48">
        <f t="shared" si="42"/>
        <v>-18.627999999999986</v>
      </c>
      <c r="O177" s="45">
        <f t="shared" si="42"/>
        <v>8768.3430000000008</v>
      </c>
      <c r="P177" s="49"/>
      <c r="Q177" s="49"/>
      <c r="R177" s="50"/>
      <c r="S177" s="49"/>
      <c r="T177" s="51">
        <f>SUM(T173:T176)</f>
        <v>7084</v>
      </c>
    </row>
    <row r="178" spans="2:20" ht="15.6" x14ac:dyDescent="0.3">
      <c r="B178" s="57"/>
      <c r="C178" s="57"/>
      <c r="D178" s="65"/>
      <c r="E178" s="65"/>
      <c r="F178" s="65"/>
      <c r="G178" s="66"/>
      <c r="H178" s="67"/>
      <c r="I178" s="65"/>
      <c r="J178" s="65"/>
      <c r="K178" s="65"/>
      <c r="L178" s="65"/>
      <c r="M178" s="65"/>
      <c r="N178" s="67"/>
      <c r="O178" s="65"/>
      <c r="P178" s="68"/>
      <c r="Q178" s="68"/>
      <c r="R178" s="69"/>
      <c r="S178" s="68"/>
      <c r="T178" s="70"/>
    </row>
    <row r="179" spans="2:20" ht="15.6" x14ac:dyDescent="0.3">
      <c r="B179" s="25"/>
      <c r="C179" s="25"/>
      <c r="D179" s="25"/>
      <c r="E179" s="25"/>
      <c r="F179" s="25"/>
      <c r="G179" s="40"/>
      <c r="H179" s="41"/>
      <c r="I179" s="27"/>
      <c r="J179" s="27"/>
      <c r="K179" s="27"/>
      <c r="L179" s="27"/>
      <c r="M179" s="27"/>
      <c r="N179" s="42"/>
      <c r="O179" s="27"/>
      <c r="P179" s="27"/>
      <c r="Q179" s="27"/>
      <c r="R179" s="42"/>
      <c r="S179" s="27"/>
      <c r="T179" s="27"/>
    </row>
    <row r="180" spans="2:20" ht="18" x14ac:dyDescent="0.35">
      <c r="B180" s="25"/>
      <c r="C180" s="29">
        <v>8</v>
      </c>
      <c r="D180" s="29" t="s">
        <v>273</v>
      </c>
      <c r="E180" s="55"/>
      <c r="F180" s="55"/>
      <c r="G180" s="40"/>
      <c r="H180" s="41"/>
      <c r="I180" s="27"/>
      <c r="J180" s="27"/>
      <c r="K180" s="27"/>
      <c r="L180" s="27"/>
      <c r="M180" s="27"/>
      <c r="N180" s="42"/>
      <c r="O180" s="27"/>
      <c r="P180" s="27"/>
      <c r="Q180" s="27"/>
      <c r="R180" s="42"/>
      <c r="S180" s="27"/>
      <c r="T180" s="27"/>
    </row>
    <row r="181" spans="2:20" ht="15.6" x14ac:dyDescent="0.3">
      <c r="B181" s="25"/>
      <c r="C181" s="25"/>
      <c r="D181" s="25"/>
      <c r="E181" s="25"/>
      <c r="F181" s="25"/>
      <c r="G181" s="40"/>
      <c r="H181" s="41"/>
      <c r="I181" s="27"/>
      <c r="J181" s="27"/>
      <c r="K181" s="27"/>
      <c r="L181" s="27"/>
      <c r="M181" s="27"/>
      <c r="N181" s="42"/>
      <c r="O181" s="27"/>
      <c r="P181" s="27"/>
      <c r="Q181" s="27"/>
      <c r="R181" s="42"/>
      <c r="S181" s="27"/>
      <c r="T181" s="27"/>
    </row>
    <row r="183" spans="2:20" ht="15.6" x14ac:dyDescent="0.3">
      <c r="B183" s="54">
        <v>1</v>
      </c>
      <c r="C183" s="54" t="s">
        <v>274</v>
      </c>
      <c r="D183" s="31" t="s">
        <v>275</v>
      </c>
      <c r="E183" s="32">
        <v>45473</v>
      </c>
      <c r="F183" s="33">
        <v>222.13346999999999</v>
      </c>
      <c r="G183" s="34">
        <v>5</v>
      </c>
      <c r="H183" s="35">
        <f>+F183/G183</f>
        <v>44.426693999999998</v>
      </c>
      <c r="I183" s="33">
        <v>2218.958063</v>
      </c>
      <c r="J183" s="33">
        <v>2517.78467</v>
      </c>
      <c r="K183" s="33">
        <v>66.402000000000001</v>
      </c>
      <c r="L183" s="33">
        <v>11.540316000000001</v>
      </c>
      <c r="M183" s="33">
        <v>173.71060800000001</v>
      </c>
      <c r="N183" s="35">
        <f>+M183-O183</f>
        <v>73.88567900000001</v>
      </c>
      <c r="O183" s="33">
        <v>99.824928999999997</v>
      </c>
      <c r="P183" s="36">
        <v>0</v>
      </c>
      <c r="Q183" s="36">
        <v>0</v>
      </c>
      <c r="R183" s="37">
        <f>SUM(P183:Q183)</f>
        <v>0</v>
      </c>
      <c r="S183" s="36"/>
      <c r="T183" s="38"/>
    </row>
    <row r="184" spans="2:20" ht="15.6" x14ac:dyDescent="0.3">
      <c r="B184" s="54">
        <f>+B183+1</f>
        <v>2</v>
      </c>
      <c r="C184" s="54" t="s">
        <v>276</v>
      </c>
      <c r="D184" s="31" t="s">
        <v>277</v>
      </c>
      <c r="E184" s="32">
        <v>45473</v>
      </c>
      <c r="F184" s="33">
        <v>131.74799999999999</v>
      </c>
      <c r="G184" s="34">
        <v>10</v>
      </c>
      <c r="H184" s="35">
        <f t="shared" ref="H184:H218" si="43">+F184/G184</f>
        <v>13.174799999999999</v>
      </c>
      <c r="I184" s="33">
        <v>267.34100000000001</v>
      </c>
      <c r="J184" s="33">
        <v>726.51400000000001</v>
      </c>
      <c r="K184" s="33">
        <v>1809.8510000000001</v>
      </c>
      <c r="L184" s="33">
        <v>1.0629999999999999</v>
      </c>
      <c r="M184" s="33">
        <v>182.73500000000001</v>
      </c>
      <c r="N184" s="35">
        <f t="shared" ref="N184:N218" si="44">+M184-O184</f>
        <v>68.02200000000002</v>
      </c>
      <c r="O184" s="33">
        <v>114.71299999999999</v>
      </c>
      <c r="P184" s="36">
        <v>0</v>
      </c>
      <c r="Q184" s="36">
        <v>0</v>
      </c>
      <c r="R184" s="37">
        <f t="shared" ref="R184" si="45">SUM(P184:Q184)</f>
        <v>0</v>
      </c>
      <c r="S184" s="36"/>
      <c r="T184" s="38">
        <v>1685</v>
      </c>
    </row>
    <row r="185" spans="2:20" ht="15.6" x14ac:dyDescent="0.3">
      <c r="B185" s="54">
        <f t="shared" ref="B185:B218" si="46">+B184+1</f>
        <v>3</v>
      </c>
      <c r="C185" s="54" t="s">
        <v>278</v>
      </c>
      <c r="D185" s="31" t="s">
        <v>279</v>
      </c>
      <c r="E185" s="32">
        <v>45473</v>
      </c>
      <c r="F185" s="33">
        <v>151.77000000000001</v>
      </c>
      <c r="G185" s="34">
        <v>10</v>
      </c>
      <c r="H185" s="35">
        <f t="shared" si="43"/>
        <v>15.177000000000001</v>
      </c>
      <c r="I185" s="33">
        <v>329.69790899999998</v>
      </c>
      <c r="J185" s="33">
        <v>1087.622809</v>
      </c>
      <c r="K185" s="33">
        <v>1812.6895950000001</v>
      </c>
      <c r="L185" s="33">
        <v>0.101868</v>
      </c>
      <c r="M185" s="33">
        <v>-62.689366</v>
      </c>
      <c r="N185" s="35">
        <f t="shared" si="44"/>
        <v>-36.129047999999997</v>
      </c>
      <c r="O185" s="33">
        <v>-26.560317999999999</v>
      </c>
      <c r="P185" s="36">
        <v>0</v>
      </c>
      <c r="Q185" s="36">
        <v>0</v>
      </c>
      <c r="R185" s="37">
        <f t="shared" ref="R185:R218" si="47">SUM(P185:Q185)</f>
        <v>0</v>
      </c>
      <c r="S185" s="36"/>
      <c r="T185" s="38">
        <v>1944</v>
      </c>
    </row>
    <row r="186" spans="2:20" ht="15.6" x14ac:dyDescent="0.3">
      <c r="B186" s="54">
        <f t="shared" si="46"/>
        <v>4</v>
      </c>
      <c r="C186" s="54" t="s">
        <v>280</v>
      </c>
      <c r="D186" s="31" t="s">
        <v>281</v>
      </c>
      <c r="E186" s="32">
        <v>45473</v>
      </c>
      <c r="F186" s="33">
        <v>8</v>
      </c>
      <c r="G186" s="34">
        <v>10</v>
      </c>
      <c r="H186" s="35">
        <f t="shared" si="43"/>
        <v>0.8</v>
      </c>
      <c r="I186" s="33">
        <v>1480.7237190000001</v>
      </c>
      <c r="J186" s="33">
        <v>3580.4672489999998</v>
      </c>
      <c r="K186" s="33">
        <v>6118.2539559999996</v>
      </c>
      <c r="L186" s="33">
        <v>272.24930000000001</v>
      </c>
      <c r="M186" s="33">
        <v>-203.120835</v>
      </c>
      <c r="N186" s="35">
        <f t="shared" si="44"/>
        <v>41.895852999999988</v>
      </c>
      <c r="O186" s="33">
        <v>-245.01668799999999</v>
      </c>
      <c r="P186" s="36">
        <v>0</v>
      </c>
      <c r="Q186" s="36">
        <v>0</v>
      </c>
      <c r="R186" s="37">
        <f t="shared" si="47"/>
        <v>0</v>
      </c>
      <c r="S186" s="36">
        <v>25</v>
      </c>
      <c r="T186" s="38">
        <v>173</v>
      </c>
    </row>
    <row r="187" spans="2:20" ht="15.6" x14ac:dyDescent="0.3">
      <c r="B187" s="54">
        <f t="shared" si="46"/>
        <v>5</v>
      </c>
      <c r="C187" s="54" t="s">
        <v>282</v>
      </c>
      <c r="D187" s="31" t="s">
        <v>283</v>
      </c>
      <c r="E187" s="32">
        <v>45473</v>
      </c>
      <c r="F187" s="33">
        <v>226.60122999999999</v>
      </c>
      <c r="G187" s="34">
        <v>10</v>
      </c>
      <c r="H187" s="35">
        <f t="shared" si="43"/>
        <v>22.660122999999999</v>
      </c>
      <c r="I187" s="33">
        <v>5925.8069999999998</v>
      </c>
      <c r="J187" s="33">
        <v>8288.5879999999997</v>
      </c>
      <c r="K187" s="33">
        <f>5962.592+1760.733</f>
        <v>7723.3249999999998</v>
      </c>
      <c r="L187" s="33">
        <f>83.688+43.594</f>
        <v>127.28200000000001</v>
      </c>
      <c r="M187" s="33">
        <f>87.748-27.376</f>
        <v>60.372</v>
      </c>
      <c r="N187" s="35">
        <f t="shared" si="44"/>
        <v>9.6929999999999978</v>
      </c>
      <c r="O187" s="33">
        <v>50.679000000000002</v>
      </c>
      <c r="P187" s="36">
        <v>0</v>
      </c>
      <c r="Q187" s="36">
        <v>0</v>
      </c>
      <c r="R187" s="37">
        <f t="shared" si="47"/>
        <v>0</v>
      </c>
      <c r="S187" s="36"/>
      <c r="T187" s="38">
        <v>1418</v>
      </c>
    </row>
    <row r="188" spans="2:20" ht="15.6" x14ac:dyDescent="0.3">
      <c r="B188" s="54">
        <f t="shared" si="46"/>
        <v>6</v>
      </c>
      <c r="C188" s="54" t="s">
        <v>284</v>
      </c>
      <c r="D188" s="31" t="s">
        <v>285</v>
      </c>
      <c r="E188" s="32">
        <v>45473</v>
      </c>
      <c r="F188" s="33">
        <v>124.17876</v>
      </c>
      <c r="G188" s="34">
        <v>10</v>
      </c>
      <c r="H188" s="35">
        <f t="shared" si="43"/>
        <v>12.417876</v>
      </c>
      <c r="I188" s="33">
        <v>3953.4119780000001</v>
      </c>
      <c r="J188" s="33">
        <v>6803.9949379999998</v>
      </c>
      <c r="K188" s="33">
        <v>6499.8394040000003</v>
      </c>
      <c r="L188" s="33">
        <v>272.59607299999999</v>
      </c>
      <c r="M188" s="33">
        <v>-796.78232100000002</v>
      </c>
      <c r="N188" s="35">
        <f t="shared" si="44"/>
        <v>-38.347518000000036</v>
      </c>
      <c r="O188" s="33">
        <v>-758.43480299999999</v>
      </c>
      <c r="P188" s="36">
        <v>0</v>
      </c>
      <c r="Q188" s="36">
        <v>0</v>
      </c>
      <c r="R188" s="37">
        <f t="shared" si="47"/>
        <v>0</v>
      </c>
      <c r="S188" s="36"/>
      <c r="T188" s="38">
        <v>1417</v>
      </c>
    </row>
    <row r="189" spans="2:20" ht="15.6" x14ac:dyDescent="0.3">
      <c r="B189" s="54">
        <f t="shared" si="46"/>
        <v>7</v>
      </c>
      <c r="C189" s="54" t="s">
        <v>286</v>
      </c>
      <c r="D189" s="31" t="s">
        <v>287</v>
      </c>
      <c r="E189" s="32">
        <v>45473</v>
      </c>
      <c r="F189" s="33">
        <v>4980.1000000000004</v>
      </c>
      <c r="G189" s="34">
        <v>10</v>
      </c>
      <c r="H189" s="35">
        <f t="shared" si="43"/>
        <v>498.01000000000005</v>
      </c>
      <c r="I189" s="33">
        <v>7349.9139999999998</v>
      </c>
      <c r="J189" s="33">
        <v>28947.236000000001</v>
      </c>
      <c r="K189" s="33">
        <v>16764.027999999998</v>
      </c>
      <c r="L189" s="33">
        <v>1554.808</v>
      </c>
      <c r="M189" s="33">
        <v>-3427.6579999999999</v>
      </c>
      <c r="N189" s="35">
        <f t="shared" si="44"/>
        <v>213.54100000000017</v>
      </c>
      <c r="O189" s="33">
        <v>-3641.1990000000001</v>
      </c>
      <c r="P189" s="36">
        <v>0</v>
      </c>
      <c r="Q189" s="36">
        <v>0</v>
      </c>
      <c r="R189" s="37">
        <f t="shared" si="47"/>
        <v>0</v>
      </c>
      <c r="S189" s="36"/>
      <c r="T189" s="38">
        <v>2793</v>
      </c>
    </row>
    <row r="190" spans="2:20" ht="15.6" x14ac:dyDescent="0.3">
      <c r="B190" s="54">
        <f t="shared" si="46"/>
        <v>8</v>
      </c>
      <c r="C190" s="54" t="s">
        <v>288</v>
      </c>
      <c r="D190" s="31" t="s">
        <v>289</v>
      </c>
      <c r="E190" s="32">
        <v>45473</v>
      </c>
      <c r="F190" s="33">
        <v>977.50725999999997</v>
      </c>
      <c r="G190" s="34">
        <v>10</v>
      </c>
      <c r="H190" s="35">
        <f t="shared" si="43"/>
        <v>97.750726</v>
      </c>
      <c r="I190" s="33">
        <v>1146.727046</v>
      </c>
      <c r="J190" s="33">
        <v>3214.19551</v>
      </c>
      <c r="K190" s="33">
        <v>446.38012500000002</v>
      </c>
      <c r="L190" s="33">
        <v>0.267486</v>
      </c>
      <c r="M190" s="33">
        <v>-408.27172999999999</v>
      </c>
      <c r="N190" s="35">
        <f t="shared" si="44"/>
        <v>-25.212834999999984</v>
      </c>
      <c r="O190" s="33">
        <v>-383.05889500000001</v>
      </c>
      <c r="P190" s="36">
        <v>0</v>
      </c>
      <c r="Q190" s="36">
        <v>0</v>
      </c>
      <c r="R190" s="37">
        <f t="shared" si="47"/>
        <v>0</v>
      </c>
      <c r="S190" s="36"/>
      <c r="T190" s="38">
        <v>2152</v>
      </c>
    </row>
    <row r="191" spans="2:20" ht="15.6" x14ac:dyDescent="0.3">
      <c r="B191" s="54">
        <f t="shared" si="46"/>
        <v>9</v>
      </c>
      <c r="C191" s="54" t="s">
        <v>290</v>
      </c>
      <c r="D191" s="31" t="s">
        <v>291</v>
      </c>
      <c r="E191" s="32">
        <v>45473</v>
      </c>
      <c r="F191" s="33">
        <v>524.66749000000004</v>
      </c>
      <c r="G191" s="34">
        <v>10</v>
      </c>
      <c r="H191" s="35">
        <f t="shared" si="43"/>
        <v>52.466749000000007</v>
      </c>
      <c r="I191" s="33">
        <v>7751.9469090000002</v>
      </c>
      <c r="J191" s="33">
        <f>15878.046465+18858.322508</f>
        <v>34736.368973000004</v>
      </c>
      <c r="K191" s="33">
        <v>39608.139408000003</v>
      </c>
      <c r="L191" s="33">
        <v>3984.7047280000002</v>
      </c>
      <c r="M191" s="33">
        <v>-2765.3238139999999</v>
      </c>
      <c r="N191" s="35">
        <f t="shared" si="44"/>
        <v>3.174612000000252</v>
      </c>
      <c r="O191" s="33">
        <v>-2768.4984260000001</v>
      </c>
      <c r="P191" s="36">
        <v>0</v>
      </c>
      <c r="Q191" s="36">
        <v>0</v>
      </c>
      <c r="R191" s="37">
        <f t="shared" si="47"/>
        <v>0</v>
      </c>
      <c r="S191" s="36"/>
      <c r="T191" s="38">
        <v>854</v>
      </c>
    </row>
    <row r="192" spans="2:20" ht="15.6" x14ac:dyDescent="0.3">
      <c r="B192" s="54">
        <f t="shared" si="46"/>
        <v>10</v>
      </c>
      <c r="C192" s="54" t="s">
        <v>292</v>
      </c>
      <c r="D192" s="31" t="s">
        <v>293</v>
      </c>
      <c r="E192" s="32">
        <v>45473</v>
      </c>
      <c r="F192" s="33">
        <v>836.85631000000001</v>
      </c>
      <c r="G192" s="34">
        <v>10</v>
      </c>
      <c r="H192" s="35">
        <f t="shared" si="43"/>
        <v>83.685631000000001</v>
      </c>
      <c r="I192" s="33">
        <v>183.791451</v>
      </c>
      <c r="J192" s="33">
        <v>291.56544400000001</v>
      </c>
      <c r="K192" s="33">
        <v>29.165908999999999</v>
      </c>
      <c r="L192" s="33">
        <v>0.376994</v>
      </c>
      <c r="M192" s="33">
        <v>1.582727</v>
      </c>
      <c r="N192" s="35">
        <f t="shared" si="44"/>
        <v>5.0387269999999997</v>
      </c>
      <c r="O192" s="33">
        <v>-3.456</v>
      </c>
      <c r="P192" s="36">
        <v>0</v>
      </c>
      <c r="Q192" s="36">
        <v>0</v>
      </c>
      <c r="R192" s="37">
        <f t="shared" si="47"/>
        <v>0</v>
      </c>
      <c r="S192" s="36"/>
      <c r="T192" s="38">
        <v>1589</v>
      </c>
    </row>
    <row r="193" spans="2:20" ht="15.6" x14ac:dyDescent="0.3">
      <c r="B193" s="54">
        <f t="shared" si="46"/>
        <v>11</v>
      </c>
      <c r="C193" s="54" t="s">
        <v>294</v>
      </c>
      <c r="D193" s="43" t="s">
        <v>295</v>
      </c>
      <c r="E193" s="32">
        <v>45657</v>
      </c>
      <c r="F193" s="33">
        <v>2245</v>
      </c>
      <c r="G193" s="34">
        <v>10</v>
      </c>
      <c r="H193" s="35">
        <f>+F193/G193</f>
        <v>224.5</v>
      </c>
      <c r="I193" s="33">
        <v>291.64299999999997</v>
      </c>
      <c r="J193" s="33">
        <v>1246.7349999999999</v>
      </c>
      <c r="K193" s="33">
        <v>391.82900000000001</v>
      </c>
      <c r="L193" s="33">
        <v>10.725</v>
      </c>
      <c r="M193" s="33">
        <v>-340.21199999999999</v>
      </c>
      <c r="N193" s="35">
        <f>+M193-O193</f>
        <v>0</v>
      </c>
      <c r="O193" s="33">
        <v>-340.21199999999999</v>
      </c>
      <c r="P193" s="36">
        <v>0</v>
      </c>
      <c r="Q193" s="36">
        <v>0</v>
      </c>
      <c r="R193" s="37">
        <f>SUM(P193:Q193)</f>
        <v>0</v>
      </c>
      <c r="S193" s="36"/>
      <c r="T193" s="38">
        <v>1173</v>
      </c>
    </row>
    <row r="194" spans="2:20" ht="15.6" x14ac:dyDescent="0.3">
      <c r="B194" s="54">
        <f t="shared" si="46"/>
        <v>12</v>
      </c>
      <c r="C194" s="54" t="s">
        <v>296</v>
      </c>
      <c r="D194" s="31" t="s">
        <v>297</v>
      </c>
      <c r="E194" s="32">
        <v>45473</v>
      </c>
      <c r="F194" s="33">
        <v>13</v>
      </c>
      <c r="G194" s="34">
        <v>10</v>
      </c>
      <c r="H194" s="35">
        <f t="shared" si="43"/>
        <v>1.3</v>
      </c>
      <c r="I194" s="33">
        <v>84.488425000000007</v>
      </c>
      <c r="J194" s="33">
        <v>259.290797</v>
      </c>
      <c r="K194" s="33">
        <v>960.65814499999999</v>
      </c>
      <c r="L194" s="33">
        <v>0.432139</v>
      </c>
      <c r="M194" s="33">
        <v>-26.716183000000001</v>
      </c>
      <c r="N194" s="35">
        <f t="shared" si="44"/>
        <v>-0.9764620000000015</v>
      </c>
      <c r="O194" s="33">
        <v>-25.739720999999999</v>
      </c>
      <c r="P194" s="36">
        <v>0</v>
      </c>
      <c r="Q194" s="36">
        <v>0</v>
      </c>
      <c r="R194" s="37">
        <f t="shared" si="47"/>
        <v>0</v>
      </c>
      <c r="S194" s="36"/>
      <c r="T194" s="38">
        <v>137</v>
      </c>
    </row>
    <row r="195" spans="2:20" ht="15.6" x14ac:dyDescent="0.3">
      <c r="B195" s="54">
        <f t="shared" si="46"/>
        <v>13</v>
      </c>
      <c r="C195" s="54" t="s">
        <v>298</v>
      </c>
      <c r="D195" s="31" t="s">
        <v>299</v>
      </c>
      <c r="E195" s="32">
        <v>45473</v>
      </c>
      <c r="F195" s="33">
        <v>109.5</v>
      </c>
      <c r="G195" s="34">
        <v>10</v>
      </c>
      <c r="H195" s="35">
        <f t="shared" si="43"/>
        <v>10.95</v>
      </c>
      <c r="I195" s="33">
        <v>4211.3319179999999</v>
      </c>
      <c r="J195" s="33">
        <v>10267.681672000001</v>
      </c>
      <c r="K195" s="33">
        <v>15510.705255000001</v>
      </c>
      <c r="L195" s="33">
        <v>480.92898100000002</v>
      </c>
      <c r="M195" s="33">
        <v>152.44387499999999</v>
      </c>
      <c r="N195" s="35">
        <f t="shared" si="44"/>
        <v>-0.53604400000000396</v>
      </c>
      <c r="O195" s="33">
        <v>152.979919</v>
      </c>
      <c r="P195" s="36">
        <v>50</v>
      </c>
      <c r="Q195" s="36">
        <v>0</v>
      </c>
      <c r="R195" s="37">
        <f t="shared" si="47"/>
        <v>50</v>
      </c>
      <c r="S195" s="36"/>
      <c r="T195" s="38">
        <v>479</v>
      </c>
    </row>
    <row r="196" spans="2:20" ht="15.6" x14ac:dyDescent="0.3">
      <c r="B196" s="54">
        <f t="shared" si="46"/>
        <v>14</v>
      </c>
      <c r="C196" s="54" t="s">
        <v>300</v>
      </c>
      <c r="D196" s="31" t="s">
        <v>301</v>
      </c>
      <c r="E196" s="32">
        <v>45473</v>
      </c>
      <c r="F196" s="33">
        <v>280.29583000000002</v>
      </c>
      <c r="G196" s="34">
        <v>10</v>
      </c>
      <c r="H196" s="35">
        <f t="shared" si="43"/>
        <v>28.029583000000002</v>
      </c>
      <c r="I196" s="33">
        <v>21498.297999999999</v>
      </c>
      <c r="J196" s="33">
        <v>61831.813999999998</v>
      </c>
      <c r="K196" s="33">
        <v>72723.982000000004</v>
      </c>
      <c r="L196" s="33">
        <v>3974.22</v>
      </c>
      <c r="M196" s="33">
        <v>316.43299999999999</v>
      </c>
      <c r="N196" s="35">
        <f t="shared" si="44"/>
        <v>-478.11500000000001</v>
      </c>
      <c r="O196" s="33">
        <v>794.548</v>
      </c>
      <c r="P196" s="36">
        <v>0</v>
      </c>
      <c r="Q196" s="36">
        <v>0</v>
      </c>
      <c r="R196" s="37">
        <f t="shared" si="47"/>
        <v>0</v>
      </c>
      <c r="S196" s="36"/>
      <c r="T196" s="38">
        <v>2065</v>
      </c>
    </row>
    <row r="197" spans="2:20" ht="15.6" x14ac:dyDescent="0.3">
      <c r="B197" s="54">
        <f t="shared" si="46"/>
        <v>15</v>
      </c>
      <c r="C197" s="54" t="s">
        <v>302</v>
      </c>
      <c r="D197" s="31" t="s">
        <v>303</v>
      </c>
      <c r="E197" s="32">
        <v>45473</v>
      </c>
      <c r="F197" s="33">
        <v>198.52799999999999</v>
      </c>
      <c r="G197" s="34">
        <v>10</v>
      </c>
      <c r="H197" s="35">
        <f t="shared" si="43"/>
        <v>19.852799999999998</v>
      </c>
      <c r="I197" s="33">
        <v>2503.7068300000001</v>
      </c>
      <c r="J197" s="33">
        <v>7038.8939609999998</v>
      </c>
      <c r="K197" s="33">
        <v>6449.7605350000003</v>
      </c>
      <c r="L197" s="33">
        <v>579.71359900000004</v>
      </c>
      <c r="M197" s="33">
        <v>-220.149541</v>
      </c>
      <c r="N197" s="35">
        <f t="shared" si="44"/>
        <v>-25.760625000000005</v>
      </c>
      <c r="O197" s="33">
        <v>-194.38891599999999</v>
      </c>
      <c r="P197" s="36">
        <v>0</v>
      </c>
      <c r="Q197" s="36">
        <v>0</v>
      </c>
      <c r="R197" s="37">
        <f t="shared" si="47"/>
        <v>0</v>
      </c>
      <c r="S197" s="36"/>
      <c r="T197" s="38">
        <v>1406</v>
      </c>
    </row>
    <row r="198" spans="2:20" ht="15.6" x14ac:dyDescent="0.3">
      <c r="B198" s="54">
        <f t="shared" si="46"/>
        <v>16</v>
      </c>
      <c r="C198" s="54" t="s">
        <v>304</v>
      </c>
      <c r="D198" s="31" t="s">
        <v>305</v>
      </c>
      <c r="E198" s="32">
        <v>45473</v>
      </c>
      <c r="F198" s="33">
        <v>99.2</v>
      </c>
      <c r="G198" s="34">
        <v>10</v>
      </c>
      <c r="H198" s="35">
        <f t="shared" si="43"/>
        <v>9.92</v>
      </c>
      <c r="I198" s="33">
        <v>606.52499999999998</v>
      </c>
      <c r="J198" s="33">
        <v>3280.7829999999999</v>
      </c>
      <c r="K198" s="33">
        <v>5559.4629999999997</v>
      </c>
      <c r="L198" s="33">
        <v>179.559</v>
      </c>
      <c r="M198" s="33">
        <v>-426.392</v>
      </c>
      <c r="N198" s="35">
        <f t="shared" si="44"/>
        <v>-104.15199999999999</v>
      </c>
      <c r="O198" s="33">
        <v>-322.24</v>
      </c>
      <c r="P198" s="36">
        <v>0</v>
      </c>
      <c r="Q198" s="36">
        <v>0</v>
      </c>
      <c r="R198" s="37">
        <f t="shared" si="47"/>
        <v>0</v>
      </c>
      <c r="S198" s="36"/>
      <c r="T198" s="38">
        <v>1324</v>
      </c>
    </row>
    <row r="199" spans="2:20" ht="15.6" x14ac:dyDescent="0.3">
      <c r="B199" s="54">
        <f t="shared" si="46"/>
        <v>17</v>
      </c>
      <c r="C199" s="54" t="s">
        <v>306</v>
      </c>
      <c r="D199" s="31" t="s">
        <v>307</v>
      </c>
      <c r="E199" s="32">
        <v>45473</v>
      </c>
      <c r="F199" s="33">
        <v>542.21100000000001</v>
      </c>
      <c r="G199" s="34">
        <v>10</v>
      </c>
      <c r="H199" s="35">
        <f t="shared" si="43"/>
        <v>54.2211</v>
      </c>
      <c r="I199" s="33">
        <v>23849.175999999999</v>
      </c>
      <c r="J199" s="33">
        <v>43860.421000000002</v>
      </c>
      <c r="K199" s="33">
        <v>67707.784</v>
      </c>
      <c r="L199" s="33">
        <v>2563.5160000000001</v>
      </c>
      <c r="M199" s="33">
        <v>-416.39699999999999</v>
      </c>
      <c r="N199" s="35">
        <f t="shared" si="44"/>
        <v>-489.392</v>
      </c>
      <c r="O199" s="33">
        <v>72.995000000000005</v>
      </c>
      <c r="P199" s="36">
        <v>0</v>
      </c>
      <c r="Q199" s="36">
        <v>0</v>
      </c>
      <c r="R199" s="37">
        <f t="shared" si="47"/>
        <v>0</v>
      </c>
      <c r="S199" s="36"/>
      <c r="T199" s="38">
        <v>2099</v>
      </c>
    </row>
    <row r="200" spans="2:20" ht="15.6" x14ac:dyDescent="0.3">
      <c r="B200" s="54">
        <f t="shared" si="46"/>
        <v>18</v>
      </c>
      <c r="C200" s="54" t="s">
        <v>308</v>
      </c>
      <c r="D200" s="43" t="s">
        <v>309</v>
      </c>
      <c r="E200" s="32">
        <v>45473</v>
      </c>
      <c r="F200" s="72">
        <v>126.0116</v>
      </c>
      <c r="G200" s="73">
        <v>10</v>
      </c>
      <c r="H200" s="74">
        <f t="shared" si="43"/>
        <v>12.60116</v>
      </c>
      <c r="I200" s="72">
        <v>416.72009300000002</v>
      </c>
      <c r="J200" s="72">
        <v>736.32116599999995</v>
      </c>
      <c r="K200" s="72">
        <v>129.95374000000001</v>
      </c>
      <c r="L200" s="72">
        <v>29.984750999999999</v>
      </c>
      <c r="M200" s="72">
        <v>-74.954307</v>
      </c>
      <c r="N200" s="74">
        <f t="shared" si="44"/>
        <v>-14.123134999999998</v>
      </c>
      <c r="O200" s="72">
        <v>-60.831172000000002</v>
      </c>
      <c r="P200" s="75">
        <v>0</v>
      </c>
      <c r="Q200" s="75">
        <v>0</v>
      </c>
      <c r="R200" s="76">
        <f t="shared" si="47"/>
        <v>0</v>
      </c>
      <c r="S200" s="75"/>
      <c r="T200" s="77"/>
    </row>
    <row r="201" spans="2:20" ht="15.6" x14ac:dyDescent="0.3">
      <c r="B201" s="54">
        <f t="shared" si="46"/>
        <v>19</v>
      </c>
      <c r="C201" s="54" t="s">
        <v>310</v>
      </c>
      <c r="D201" s="31" t="s">
        <v>311</v>
      </c>
      <c r="E201" s="32">
        <v>45473</v>
      </c>
      <c r="F201" s="33">
        <v>69.15822</v>
      </c>
      <c r="G201" s="34">
        <v>10</v>
      </c>
      <c r="H201" s="35">
        <f t="shared" si="43"/>
        <v>6.9158220000000004</v>
      </c>
      <c r="I201" s="33">
        <v>6036.0339999999997</v>
      </c>
      <c r="J201" s="33">
        <v>8873.741</v>
      </c>
      <c r="K201" s="33">
        <v>5884.7120000000004</v>
      </c>
      <c r="L201" s="33">
        <v>357.75099999999998</v>
      </c>
      <c r="M201" s="33">
        <v>-610.30999999999995</v>
      </c>
      <c r="N201" s="35">
        <f t="shared" si="44"/>
        <v>-142.72599999999994</v>
      </c>
      <c r="O201" s="33">
        <v>-467.584</v>
      </c>
      <c r="P201" s="36">
        <v>0</v>
      </c>
      <c r="Q201" s="36">
        <v>0</v>
      </c>
      <c r="R201" s="37">
        <f t="shared" si="47"/>
        <v>0</v>
      </c>
      <c r="S201" s="36"/>
      <c r="T201" s="38">
        <v>2672</v>
      </c>
    </row>
    <row r="202" spans="2:20" ht="15.6" x14ac:dyDescent="0.3">
      <c r="B202" s="54">
        <f t="shared" si="46"/>
        <v>20</v>
      </c>
      <c r="C202" s="54" t="s">
        <v>312</v>
      </c>
      <c r="D202" s="31" t="s">
        <v>313</v>
      </c>
      <c r="E202" s="32">
        <v>45473</v>
      </c>
      <c r="F202" s="33">
        <v>1023.17502</v>
      </c>
      <c r="G202" s="34">
        <v>10</v>
      </c>
      <c r="H202" s="35">
        <f t="shared" si="43"/>
        <v>102.317502</v>
      </c>
      <c r="I202" s="33">
        <v>13494.981</v>
      </c>
      <c r="J202" s="33">
        <v>30565.010999999999</v>
      </c>
      <c r="K202" s="33">
        <v>41816.394999999997</v>
      </c>
      <c r="L202" s="33">
        <v>2407.2359999999999</v>
      </c>
      <c r="M202" s="33">
        <v>1006.511</v>
      </c>
      <c r="N202" s="35">
        <f t="shared" si="44"/>
        <v>0</v>
      </c>
      <c r="O202" s="33">
        <v>1006.511</v>
      </c>
      <c r="P202" s="36">
        <v>0</v>
      </c>
      <c r="Q202" s="36">
        <v>0</v>
      </c>
      <c r="R202" s="37">
        <f t="shared" si="47"/>
        <v>0</v>
      </c>
      <c r="S202" s="36"/>
      <c r="T202" s="38">
        <v>272</v>
      </c>
    </row>
    <row r="203" spans="2:20" ht="15.6" x14ac:dyDescent="0.3">
      <c r="B203" s="54">
        <f t="shared" si="46"/>
        <v>21</v>
      </c>
      <c r="C203" s="54" t="s">
        <v>314</v>
      </c>
      <c r="D203" s="43" t="s">
        <v>315</v>
      </c>
      <c r="E203" s="32">
        <v>45473</v>
      </c>
      <c r="F203" s="72">
        <v>208</v>
      </c>
      <c r="G203" s="73">
        <v>10</v>
      </c>
      <c r="H203" s="74">
        <f t="shared" si="43"/>
        <v>20.8</v>
      </c>
      <c r="I203" s="72">
        <v>3910.444</v>
      </c>
      <c r="J203" s="72">
        <v>8315.1630000000005</v>
      </c>
      <c r="K203" s="72">
        <v>7964.1419999999998</v>
      </c>
      <c r="L203" s="72">
        <v>599.71600000000001</v>
      </c>
      <c r="M203" s="72">
        <v>224.803</v>
      </c>
      <c r="N203" s="74">
        <f t="shared" si="44"/>
        <v>10.686000000000007</v>
      </c>
      <c r="O203" s="72">
        <v>214.11699999999999</v>
      </c>
      <c r="P203" s="75">
        <v>10</v>
      </c>
      <c r="Q203" s="75">
        <v>0</v>
      </c>
      <c r="R203" s="76">
        <f t="shared" si="47"/>
        <v>10</v>
      </c>
      <c r="S203" s="75"/>
      <c r="T203" s="77">
        <v>780</v>
      </c>
    </row>
    <row r="204" spans="2:20" ht="15.6" x14ac:dyDescent="0.3">
      <c r="B204" s="54">
        <f t="shared" si="46"/>
        <v>22</v>
      </c>
      <c r="C204" s="54" t="s">
        <v>316</v>
      </c>
      <c r="D204" s="31" t="s">
        <v>317</v>
      </c>
      <c r="E204" s="32">
        <v>45473</v>
      </c>
      <c r="F204" s="33">
        <v>2060.5339250000002</v>
      </c>
      <c r="G204" s="34">
        <v>5</v>
      </c>
      <c r="H204" s="35">
        <f t="shared" si="43"/>
        <v>412.10678500000006</v>
      </c>
      <c r="I204" s="33">
        <v>562.75926000000004</v>
      </c>
      <c r="J204" s="33">
        <v>4250.9656699999996</v>
      </c>
      <c r="K204" s="33">
        <v>0</v>
      </c>
      <c r="L204" s="33">
        <v>23.269608000000002</v>
      </c>
      <c r="M204" s="33">
        <v>-378.46898199999998</v>
      </c>
      <c r="N204" s="35">
        <f t="shared" si="44"/>
        <v>-3.8165759999999977</v>
      </c>
      <c r="O204" s="33">
        <v>-374.65240599999998</v>
      </c>
      <c r="P204" s="36">
        <v>0</v>
      </c>
      <c r="Q204" s="36">
        <v>0</v>
      </c>
      <c r="R204" s="37">
        <f t="shared" si="47"/>
        <v>0</v>
      </c>
      <c r="S204" s="36"/>
      <c r="T204" s="38">
        <v>5668</v>
      </c>
    </row>
    <row r="205" spans="2:20" ht="15.6" x14ac:dyDescent="0.3">
      <c r="B205" s="54">
        <f t="shared" si="46"/>
        <v>23</v>
      </c>
      <c r="C205" s="54" t="s">
        <v>318</v>
      </c>
      <c r="D205" s="31" t="s">
        <v>319</v>
      </c>
      <c r="E205" s="32">
        <v>45473</v>
      </c>
      <c r="F205" s="33">
        <v>184.32</v>
      </c>
      <c r="G205" s="34">
        <v>10</v>
      </c>
      <c r="H205" s="35">
        <f t="shared" si="43"/>
        <v>18.431999999999999</v>
      </c>
      <c r="I205" s="33">
        <v>2389.4761250000001</v>
      </c>
      <c r="J205" s="33">
        <v>9166.5453770000004</v>
      </c>
      <c r="K205" s="33">
        <v>10313.728239</v>
      </c>
      <c r="L205" s="33">
        <v>766.85904400000004</v>
      </c>
      <c r="M205" s="33">
        <v>-828.57369500000004</v>
      </c>
      <c r="N205" s="35">
        <f t="shared" si="44"/>
        <v>-130.15661</v>
      </c>
      <c r="O205" s="33">
        <v>-698.41708500000004</v>
      </c>
      <c r="P205" s="36">
        <v>0</v>
      </c>
      <c r="Q205" s="36">
        <v>0</v>
      </c>
      <c r="R205" s="37">
        <f t="shared" si="47"/>
        <v>0</v>
      </c>
      <c r="S205" s="36"/>
      <c r="T205" s="38">
        <v>574</v>
      </c>
    </row>
    <row r="206" spans="2:20" ht="15.6" x14ac:dyDescent="0.3">
      <c r="B206" s="54">
        <f t="shared" si="46"/>
        <v>24</v>
      </c>
      <c r="C206" s="54" t="s">
        <v>320</v>
      </c>
      <c r="D206" s="31" t="s">
        <v>321</v>
      </c>
      <c r="E206" s="32">
        <v>45473</v>
      </c>
      <c r="F206" s="33">
        <v>187</v>
      </c>
      <c r="G206" s="34">
        <v>10</v>
      </c>
      <c r="H206" s="35">
        <f t="shared" si="43"/>
        <v>18.7</v>
      </c>
      <c r="I206" s="33">
        <v>4728.3688229999998</v>
      </c>
      <c r="J206" s="33">
        <v>12730.251657000001</v>
      </c>
      <c r="K206" s="33">
        <v>20448.120236999999</v>
      </c>
      <c r="L206" s="33">
        <v>850.55276700000002</v>
      </c>
      <c r="M206" s="33">
        <v>77.024987999999993</v>
      </c>
      <c r="N206" s="35">
        <f t="shared" si="44"/>
        <v>0</v>
      </c>
      <c r="O206" s="33">
        <v>77.024987999999993</v>
      </c>
      <c r="P206" s="36">
        <v>15</v>
      </c>
      <c r="Q206" s="36">
        <v>0</v>
      </c>
      <c r="R206" s="37">
        <f t="shared" si="47"/>
        <v>15</v>
      </c>
      <c r="S206" s="36"/>
      <c r="T206" s="38">
        <v>927</v>
      </c>
    </row>
    <row r="207" spans="2:20" ht="15.6" x14ac:dyDescent="0.3">
      <c r="B207" s="54">
        <f t="shared" si="46"/>
        <v>25</v>
      </c>
      <c r="C207" s="54" t="s">
        <v>322</v>
      </c>
      <c r="D207" s="31" t="s">
        <v>323</v>
      </c>
      <c r="E207" s="32">
        <v>45473</v>
      </c>
      <c r="F207" s="33">
        <v>212.66735</v>
      </c>
      <c r="G207" s="34">
        <v>10</v>
      </c>
      <c r="H207" s="35">
        <f t="shared" si="43"/>
        <v>21.266735000000001</v>
      </c>
      <c r="I207" s="33">
        <v>2699.5295919999999</v>
      </c>
      <c r="J207" s="33">
        <v>7529.8720999999996</v>
      </c>
      <c r="K207" s="33">
        <v>11391.093507</v>
      </c>
      <c r="L207" s="33">
        <v>676.49892499999999</v>
      </c>
      <c r="M207" s="33">
        <v>-1041.0155460000001</v>
      </c>
      <c r="N207" s="35">
        <f t="shared" si="44"/>
        <v>-79.234852000000046</v>
      </c>
      <c r="O207" s="33">
        <v>-961.78069400000004</v>
      </c>
      <c r="P207" s="36">
        <v>0</v>
      </c>
      <c r="Q207" s="36">
        <v>0</v>
      </c>
      <c r="R207" s="37">
        <f t="shared" si="47"/>
        <v>0</v>
      </c>
      <c r="S207" s="36"/>
      <c r="T207" s="38">
        <v>41</v>
      </c>
    </row>
    <row r="208" spans="2:20" ht="15.6" x14ac:dyDescent="0.3">
      <c r="B208" s="54">
        <f t="shared" si="46"/>
        <v>26</v>
      </c>
      <c r="C208" s="54" t="s">
        <v>324</v>
      </c>
      <c r="D208" s="43" t="s">
        <v>325</v>
      </c>
      <c r="E208" s="32">
        <v>45473</v>
      </c>
      <c r="F208" s="33">
        <v>120</v>
      </c>
      <c r="G208" s="34">
        <v>10</v>
      </c>
      <c r="H208" s="35">
        <f t="shared" si="43"/>
        <v>12</v>
      </c>
      <c r="I208" s="33">
        <v>38.507950000000001</v>
      </c>
      <c r="J208" s="33">
        <v>709.86337600000002</v>
      </c>
      <c r="K208" s="33">
        <v>121.88473</v>
      </c>
      <c r="L208" s="33">
        <v>5.9545079999999997</v>
      </c>
      <c r="M208" s="33">
        <v>38.168016999999999</v>
      </c>
      <c r="N208" s="35">
        <f t="shared" si="44"/>
        <v>18.441022</v>
      </c>
      <c r="O208" s="33">
        <v>19.726994999999999</v>
      </c>
      <c r="P208" s="36">
        <v>0</v>
      </c>
      <c r="Q208" s="36">
        <v>0</v>
      </c>
      <c r="R208" s="37">
        <f t="shared" si="47"/>
        <v>0</v>
      </c>
      <c r="S208" s="36"/>
      <c r="T208" s="38">
        <v>364</v>
      </c>
    </row>
    <row r="209" spans="2:20" ht="15.6" x14ac:dyDescent="0.3">
      <c r="B209" s="54">
        <f t="shared" si="46"/>
        <v>27</v>
      </c>
      <c r="C209" s="54" t="s">
        <v>326</v>
      </c>
      <c r="D209" s="31" t="s">
        <v>327</v>
      </c>
      <c r="E209" s="32">
        <v>45473</v>
      </c>
      <c r="F209" s="33">
        <v>61.63</v>
      </c>
      <c r="G209" s="34">
        <v>10</v>
      </c>
      <c r="H209" s="35">
        <f t="shared" si="43"/>
        <v>6.1630000000000003</v>
      </c>
      <c r="I209" s="33">
        <v>8491.7311250000002</v>
      </c>
      <c r="J209" s="33">
        <v>30539.757151000002</v>
      </c>
      <c r="K209" s="33">
        <v>27075.690885</v>
      </c>
      <c r="L209" s="33">
        <v>3071.0591680000002</v>
      </c>
      <c r="M209" s="33">
        <v>-512.230772</v>
      </c>
      <c r="N209" s="35">
        <f t="shared" si="44"/>
        <v>-70.936081999999999</v>
      </c>
      <c r="O209" s="33">
        <v>-441.29469</v>
      </c>
      <c r="P209" s="36">
        <v>0</v>
      </c>
      <c r="Q209" s="36">
        <v>0</v>
      </c>
      <c r="R209" s="37">
        <f t="shared" si="47"/>
        <v>0</v>
      </c>
      <c r="S209" s="36"/>
      <c r="T209" s="38">
        <v>788</v>
      </c>
    </row>
    <row r="210" spans="2:20" ht="15.6" x14ac:dyDescent="0.3">
      <c r="B210" s="54">
        <f t="shared" si="46"/>
        <v>28</v>
      </c>
      <c r="C210" s="54" t="s">
        <v>328</v>
      </c>
      <c r="D210" s="31" t="s">
        <v>329</v>
      </c>
      <c r="E210" s="32">
        <v>45473</v>
      </c>
      <c r="F210" s="33">
        <v>102.92</v>
      </c>
      <c r="G210" s="34">
        <v>10</v>
      </c>
      <c r="H210" s="35">
        <f t="shared" si="43"/>
        <v>10.292</v>
      </c>
      <c r="I210" s="33">
        <v>8170.0278600000001</v>
      </c>
      <c r="J210" s="33">
        <v>13197.522097999999</v>
      </c>
      <c r="K210" s="33">
        <v>14645.976382999999</v>
      </c>
      <c r="L210" s="33">
        <v>786.10860100000002</v>
      </c>
      <c r="M210" s="33">
        <v>1106.672352</v>
      </c>
      <c r="N210" s="35">
        <f t="shared" si="44"/>
        <v>-78.284038999999893</v>
      </c>
      <c r="O210" s="33">
        <v>1184.9563909999999</v>
      </c>
      <c r="P210" s="36">
        <v>40</v>
      </c>
      <c r="Q210" s="36">
        <v>0</v>
      </c>
      <c r="R210" s="37">
        <f t="shared" si="47"/>
        <v>40</v>
      </c>
      <c r="S210" s="36"/>
      <c r="T210" s="38">
        <v>474</v>
      </c>
    </row>
    <row r="211" spans="2:20" ht="15.6" x14ac:dyDescent="0.3">
      <c r="B211" s="54">
        <f t="shared" si="46"/>
        <v>29</v>
      </c>
      <c r="C211" s="54" t="s">
        <v>330</v>
      </c>
      <c r="D211" s="31" t="s">
        <v>331</v>
      </c>
      <c r="E211" s="32">
        <v>45473</v>
      </c>
      <c r="F211" s="33">
        <v>264.12900000000002</v>
      </c>
      <c r="G211" s="34">
        <v>10</v>
      </c>
      <c r="H211" s="35">
        <f t="shared" si="43"/>
        <v>26.4129</v>
      </c>
      <c r="I211" s="33">
        <v>4148.55</v>
      </c>
      <c r="J211" s="33">
        <v>14294.334999999999</v>
      </c>
      <c r="K211" s="33">
        <v>12248.662</v>
      </c>
      <c r="L211" s="33">
        <v>1639.7670000000001</v>
      </c>
      <c r="M211" s="33">
        <v>131.21199999999999</v>
      </c>
      <c r="N211" s="35">
        <f t="shared" si="44"/>
        <v>119.64599999999999</v>
      </c>
      <c r="O211" s="33">
        <v>11.566000000000001</v>
      </c>
      <c r="P211" s="36">
        <v>0</v>
      </c>
      <c r="Q211" s="36">
        <v>0</v>
      </c>
      <c r="R211" s="37">
        <f t="shared" si="47"/>
        <v>0</v>
      </c>
      <c r="S211" s="36"/>
      <c r="T211" s="38">
        <v>1405</v>
      </c>
    </row>
    <row r="212" spans="2:20" ht="15.6" x14ac:dyDescent="0.3">
      <c r="B212" s="54">
        <f t="shared" si="46"/>
        <v>30</v>
      </c>
      <c r="C212" s="54" t="s">
        <v>332</v>
      </c>
      <c r="D212" s="31" t="s">
        <v>333</v>
      </c>
      <c r="E212" s="32">
        <v>45473</v>
      </c>
      <c r="F212" s="33">
        <v>137.87567000000001</v>
      </c>
      <c r="G212" s="34">
        <v>10</v>
      </c>
      <c r="H212" s="35">
        <f t="shared" si="43"/>
        <v>13.787567000000001</v>
      </c>
      <c r="I212" s="33">
        <v>911.352124</v>
      </c>
      <c r="J212" s="33">
        <v>1469.906692</v>
      </c>
      <c r="K212" s="33">
        <v>1341.3175980000001</v>
      </c>
      <c r="L212" s="33">
        <v>12.262287000000001</v>
      </c>
      <c r="M212" s="33">
        <v>-109.485983</v>
      </c>
      <c r="N212" s="35">
        <f t="shared" si="44"/>
        <v>-8.8419560000000104</v>
      </c>
      <c r="O212" s="33">
        <v>-100.64402699999999</v>
      </c>
      <c r="P212" s="36">
        <v>0</v>
      </c>
      <c r="Q212" s="36">
        <v>0</v>
      </c>
      <c r="R212" s="37">
        <f t="shared" si="47"/>
        <v>0</v>
      </c>
      <c r="S212" s="36"/>
      <c r="T212" s="38">
        <v>1307</v>
      </c>
    </row>
    <row r="213" spans="2:20" ht="15.6" x14ac:dyDescent="0.3">
      <c r="B213" s="54">
        <f t="shared" si="46"/>
        <v>31</v>
      </c>
      <c r="C213" s="54" t="s">
        <v>334</v>
      </c>
      <c r="D213" s="31" t="s">
        <v>335</v>
      </c>
      <c r="E213" s="32">
        <v>45473</v>
      </c>
      <c r="F213" s="33">
        <v>176.36718999999999</v>
      </c>
      <c r="G213" s="34">
        <v>10</v>
      </c>
      <c r="H213" s="35">
        <f t="shared" si="43"/>
        <v>17.636718999999999</v>
      </c>
      <c r="I213" s="33">
        <v>818.01655100000005</v>
      </c>
      <c r="J213" s="33">
        <v>1657.910419</v>
      </c>
      <c r="K213" s="33">
        <v>731.30681800000002</v>
      </c>
      <c r="L213" s="33">
        <v>1.7688729999999999</v>
      </c>
      <c r="M213" s="33">
        <v>-20.903725000000001</v>
      </c>
      <c r="N213" s="35">
        <f t="shared" si="44"/>
        <v>87.794214000000011</v>
      </c>
      <c r="O213" s="33">
        <v>-108.69793900000001</v>
      </c>
      <c r="P213" s="36">
        <v>0</v>
      </c>
      <c r="Q213" s="36">
        <v>0</v>
      </c>
      <c r="R213" s="37">
        <f t="shared" si="47"/>
        <v>0</v>
      </c>
      <c r="S213" s="36"/>
      <c r="T213" s="38">
        <v>1083</v>
      </c>
    </row>
    <row r="214" spans="2:20" ht="15.6" x14ac:dyDescent="0.3">
      <c r="B214" s="54">
        <f t="shared" si="46"/>
        <v>32</v>
      </c>
      <c r="C214" s="54" t="s">
        <v>336</v>
      </c>
      <c r="D214" s="31" t="s">
        <v>337</v>
      </c>
      <c r="E214" s="32">
        <v>45473</v>
      </c>
      <c r="F214" s="33">
        <v>166</v>
      </c>
      <c r="G214" s="34">
        <v>10</v>
      </c>
      <c r="H214" s="35">
        <f t="shared" si="43"/>
        <v>16.600000000000001</v>
      </c>
      <c r="I214" s="33">
        <v>1612.3969999999999</v>
      </c>
      <c r="J214" s="33">
        <v>3089.0430000000001</v>
      </c>
      <c r="K214" s="33">
        <v>7280.768</v>
      </c>
      <c r="L214" s="33">
        <v>133.911</v>
      </c>
      <c r="M214" s="33">
        <v>56.936</v>
      </c>
      <c r="N214" s="35">
        <f t="shared" si="44"/>
        <v>-41.529999999999994</v>
      </c>
      <c r="O214" s="33">
        <v>98.465999999999994</v>
      </c>
      <c r="P214" s="36">
        <v>7.5</v>
      </c>
      <c r="Q214" s="36">
        <v>0</v>
      </c>
      <c r="R214" s="37">
        <f t="shared" si="47"/>
        <v>7.5</v>
      </c>
      <c r="S214" s="36"/>
      <c r="T214" s="38">
        <v>456</v>
      </c>
    </row>
    <row r="215" spans="2:20" ht="15.6" x14ac:dyDescent="0.3">
      <c r="B215" s="54">
        <f t="shared" si="46"/>
        <v>33</v>
      </c>
      <c r="C215" s="54" t="s">
        <v>338</v>
      </c>
      <c r="D215" s="31" t="s">
        <v>339</v>
      </c>
      <c r="E215" s="32">
        <v>45473</v>
      </c>
      <c r="F215" s="33">
        <v>199.65</v>
      </c>
      <c r="G215" s="34">
        <v>10</v>
      </c>
      <c r="H215" s="35">
        <f t="shared" si="43"/>
        <v>19.965</v>
      </c>
      <c r="I215" s="33">
        <v>673.86704599999996</v>
      </c>
      <c r="J215" s="33">
        <v>2576.3878450000002</v>
      </c>
      <c r="K215" s="33">
        <v>3804.1893970000001</v>
      </c>
      <c r="L215" s="33">
        <v>249.98648800000001</v>
      </c>
      <c r="M215" s="33">
        <v>-144.81226599999999</v>
      </c>
      <c r="N215" s="35">
        <f t="shared" si="44"/>
        <v>-69.318099999999987</v>
      </c>
      <c r="O215" s="33">
        <v>-75.494166000000007</v>
      </c>
      <c r="P215" s="36">
        <v>0</v>
      </c>
      <c r="Q215" s="36">
        <v>0</v>
      </c>
      <c r="R215" s="37">
        <f t="shared" si="47"/>
        <v>0</v>
      </c>
      <c r="S215" s="36"/>
      <c r="T215" s="38">
        <v>558</v>
      </c>
    </row>
    <row r="216" spans="2:20" ht="15.6" x14ac:dyDescent="0.3">
      <c r="B216" s="54">
        <f t="shared" si="46"/>
        <v>34</v>
      </c>
      <c r="C216" s="54" t="s">
        <v>340</v>
      </c>
      <c r="D216" s="31" t="s">
        <v>341</v>
      </c>
      <c r="E216" s="32">
        <v>45473</v>
      </c>
      <c r="F216" s="33">
        <v>207</v>
      </c>
      <c r="G216" s="34">
        <v>10</v>
      </c>
      <c r="H216" s="35">
        <f t="shared" si="43"/>
        <v>20.7</v>
      </c>
      <c r="I216" s="33">
        <v>8203.426727</v>
      </c>
      <c r="J216" s="33">
        <v>15415.372936</v>
      </c>
      <c r="K216" s="33">
        <v>20148.888456000001</v>
      </c>
      <c r="L216" s="33">
        <v>1023.046345</v>
      </c>
      <c r="M216" s="33">
        <v>229.37562700000001</v>
      </c>
      <c r="N216" s="35">
        <f t="shared" si="44"/>
        <v>52.181844000000012</v>
      </c>
      <c r="O216" s="33">
        <v>177.193783</v>
      </c>
      <c r="P216" s="36">
        <v>0</v>
      </c>
      <c r="Q216" s="36">
        <v>0</v>
      </c>
      <c r="R216" s="37">
        <f t="shared" si="47"/>
        <v>0</v>
      </c>
      <c r="S216" s="36"/>
      <c r="T216" s="38">
        <v>1907</v>
      </c>
    </row>
    <row r="217" spans="2:20" ht="15.6" x14ac:dyDescent="0.3">
      <c r="B217" s="54">
        <f t="shared" si="46"/>
        <v>35</v>
      </c>
      <c r="C217" s="54" t="s">
        <v>342</v>
      </c>
      <c r="D217" s="31" t="s">
        <v>343</v>
      </c>
      <c r="E217" s="32">
        <v>45473</v>
      </c>
      <c r="F217" s="33">
        <v>179.71372</v>
      </c>
      <c r="G217" s="34">
        <v>10</v>
      </c>
      <c r="H217" s="35">
        <f t="shared" si="43"/>
        <v>17.971371999999999</v>
      </c>
      <c r="I217" s="33">
        <v>3326.627755</v>
      </c>
      <c r="J217" s="33">
        <v>5869.9373939999996</v>
      </c>
      <c r="K217" s="33">
        <v>11014.646483</v>
      </c>
      <c r="L217" s="33">
        <v>192.537238</v>
      </c>
      <c r="M217" s="33">
        <v>-52.468297999999997</v>
      </c>
      <c r="N217" s="35">
        <f t="shared" si="44"/>
        <v>46.314680000000003</v>
      </c>
      <c r="O217" s="33">
        <v>-98.782978</v>
      </c>
      <c r="P217" s="36">
        <v>0</v>
      </c>
      <c r="Q217" s="36">
        <v>0</v>
      </c>
      <c r="R217" s="37">
        <f t="shared" si="47"/>
        <v>0</v>
      </c>
      <c r="S217" s="36"/>
      <c r="T217" s="38">
        <v>789</v>
      </c>
    </row>
    <row r="218" spans="2:20" ht="15.6" x14ac:dyDescent="0.3">
      <c r="B218" s="54">
        <f t="shared" si="46"/>
        <v>36</v>
      </c>
      <c r="C218" s="54" t="s">
        <v>344</v>
      </c>
      <c r="D218" s="31" t="s">
        <v>345</v>
      </c>
      <c r="E218" s="32">
        <v>45473</v>
      </c>
      <c r="F218" s="33">
        <v>559.93614000000002</v>
      </c>
      <c r="G218" s="34">
        <v>10</v>
      </c>
      <c r="H218" s="35">
        <f t="shared" si="43"/>
        <v>55.993614000000001</v>
      </c>
      <c r="I218" s="33">
        <v>20932.714</v>
      </c>
      <c r="J218" s="33">
        <v>44394.156000000003</v>
      </c>
      <c r="K218" s="33">
        <v>45823.7</v>
      </c>
      <c r="L218" s="33">
        <v>4497.41</v>
      </c>
      <c r="M218" s="33">
        <v>-458.87200000000001</v>
      </c>
      <c r="N218" s="35">
        <f t="shared" si="44"/>
        <v>95.03899999999993</v>
      </c>
      <c r="O218" s="33">
        <v>-553.91099999999994</v>
      </c>
      <c r="P218" s="36">
        <v>0</v>
      </c>
      <c r="Q218" s="36">
        <v>0</v>
      </c>
      <c r="R218" s="37">
        <f t="shared" si="47"/>
        <v>0</v>
      </c>
      <c r="S218" s="36"/>
      <c r="T218" s="38">
        <v>3599</v>
      </c>
    </row>
    <row r="219" spans="2:20" ht="15.6" x14ac:dyDescent="0.3">
      <c r="B219" s="56"/>
      <c r="C219" s="56"/>
      <c r="D219" s="58"/>
      <c r="E219" s="59"/>
      <c r="F219" s="60"/>
      <c r="G219" s="40"/>
      <c r="H219" s="61"/>
      <c r="I219" s="60"/>
      <c r="J219" s="60"/>
      <c r="K219" s="60"/>
      <c r="L219" s="60"/>
      <c r="M219" s="60"/>
      <c r="N219" s="61"/>
      <c r="O219" s="60"/>
      <c r="P219" s="62"/>
      <c r="Q219" s="62"/>
      <c r="R219" s="63"/>
      <c r="S219" s="62"/>
      <c r="T219" s="64"/>
    </row>
    <row r="220" spans="2:20" ht="18" x14ac:dyDescent="0.35">
      <c r="B220" s="25"/>
      <c r="C220" s="25"/>
      <c r="D220" s="53" t="s">
        <v>1127</v>
      </c>
      <c r="E220" s="25"/>
      <c r="F220" s="25"/>
      <c r="G220" s="40"/>
      <c r="H220" s="41"/>
      <c r="I220" s="27"/>
      <c r="J220" s="27"/>
      <c r="K220" s="27"/>
      <c r="L220" s="27"/>
      <c r="M220" s="27"/>
      <c r="N220" s="42"/>
      <c r="O220" s="27"/>
      <c r="P220" s="27"/>
      <c r="Q220" s="27"/>
      <c r="R220" s="42"/>
      <c r="S220" s="27"/>
      <c r="T220" s="27"/>
    </row>
    <row r="221" spans="2:20" ht="15.6" x14ac:dyDescent="0.3">
      <c r="B221" s="54">
        <v>1</v>
      </c>
      <c r="C221" s="54" t="s">
        <v>346</v>
      </c>
      <c r="D221" s="31" t="s">
        <v>347</v>
      </c>
      <c r="E221" s="32">
        <v>45473</v>
      </c>
      <c r="F221" s="33"/>
      <c r="G221" s="34">
        <v>10</v>
      </c>
      <c r="H221" s="35">
        <f t="shared" ref="H221:H245" si="48">+F221/G221</f>
        <v>0</v>
      </c>
      <c r="I221" s="33"/>
      <c r="J221" s="33"/>
      <c r="K221" s="33"/>
      <c r="L221" s="33"/>
      <c r="M221" s="33"/>
      <c r="N221" s="35">
        <f t="shared" ref="N221:N245" si="49">+M221-O221</f>
        <v>0</v>
      </c>
      <c r="O221" s="33"/>
      <c r="P221" s="36"/>
      <c r="Q221" s="36"/>
      <c r="R221" s="37">
        <f t="shared" ref="R221:R245" si="50">SUM(P221:Q221)</f>
        <v>0</v>
      </c>
      <c r="S221" s="36"/>
      <c r="T221" s="38"/>
    </row>
    <row r="222" spans="2:20" ht="15.6" x14ac:dyDescent="0.3">
      <c r="B222" s="54">
        <f>+B221+1</f>
        <v>2</v>
      </c>
      <c r="C222" s="54" t="s">
        <v>348</v>
      </c>
      <c r="D222" s="31" t="s">
        <v>349</v>
      </c>
      <c r="E222" s="32">
        <v>45473</v>
      </c>
      <c r="F222" s="33">
        <v>2594.30134</v>
      </c>
      <c r="G222" s="34">
        <v>10</v>
      </c>
      <c r="H222" s="35">
        <f t="shared" si="48"/>
        <v>259.43013400000001</v>
      </c>
      <c r="I222" s="33">
        <v>-8544.1920420000006</v>
      </c>
      <c r="J222" s="33">
        <v>3684.6057340000002</v>
      </c>
      <c r="K222" s="33">
        <v>2793.1032949999999</v>
      </c>
      <c r="L222" s="33">
        <v>157.43147500000001</v>
      </c>
      <c r="M222" s="33">
        <v>95.014123999999995</v>
      </c>
      <c r="N222" s="35">
        <f t="shared" si="49"/>
        <v>3.403576000000001</v>
      </c>
      <c r="O222" s="33">
        <v>91.610547999999994</v>
      </c>
      <c r="P222" s="36">
        <v>0</v>
      </c>
      <c r="Q222" s="36">
        <v>0</v>
      </c>
      <c r="R222" s="37">
        <f t="shared" si="50"/>
        <v>0</v>
      </c>
      <c r="S222" s="36"/>
      <c r="T222" s="38">
        <v>3102</v>
      </c>
    </row>
    <row r="223" spans="2:20" ht="15.6" x14ac:dyDescent="0.3">
      <c r="B223" s="54">
        <f t="shared" ref="B223:B246" si="51">+B222+1</f>
        <v>3</v>
      </c>
      <c r="C223" s="54" t="s">
        <v>350</v>
      </c>
      <c r="D223" s="31" t="s">
        <v>351</v>
      </c>
      <c r="E223" s="32">
        <v>45473</v>
      </c>
      <c r="F223" s="33"/>
      <c r="G223" s="34">
        <v>5</v>
      </c>
      <c r="H223" s="35">
        <f t="shared" si="48"/>
        <v>0</v>
      </c>
      <c r="I223" s="33"/>
      <c r="J223" s="33"/>
      <c r="K223" s="33"/>
      <c r="L223" s="33"/>
      <c r="M223" s="33"/>
      <c r="N223" s="35">
        <f t="shared" si="49"/>
        <v>0</v>
      </c>
      <c r="O223" s="33"/>
      <c r="P223" s="36"/>
      <c r="Q223" s="36"/>
      <c r="R223" s="37">
        <f t="shared" si="50"/>
        <v>0</v>
      </c>
      <c r="S223" s="36"/>
      <c r="T223" s="38"/>
    </row>
    <row r="224" spans="2:20" ht="15.6" x14ac:dyDescent="0.3">
      <c r="B224" s="54">
        <f t="shared" si="51"/>
        <v>4</v>
      </c>
      <c r="C224" s="54" t="s">
        <v>352</v>
      </c>
      <c r="D224" s="31" t="s">
        <v>353</v>
      </c>
      <c r="E224" s="32">
        <v>45473</v>
      </c>
      <c r="F224" s="33"/>
      <c r="G224" s="34">
        <v>10</v>
      </c>
      <c r="H224" s="35">
        <f t="shared" si="48"/>
        <v>0</v>
      </c>
      <c r="I224" s="33"/>
      <c r="J224" s="33"/>
      <c r="K224" s="33"/>
      <c r="L224" s="33"/>
      <c r="M224" s="33"/>
      <c r="N224" s="35">
        <f t="shared" si="49"/>
        <v>0</v>
      </c>
      <c r="O224" s="33"/>
      <c r="P224" s="36"/>
      <c r="Q224" s="36"/>
      <c r="R224" s="37">
        <f t="shared" si="50"/>
        <v>0</v>
      </c>
      <c r="S224" s="36"/>
      <c r="T224" s="38"/>
    </row>
    <row r="225" spans="2:20" ht="15.6" x14ac:dyDescent="0.3">
      <c r="B225" s="54">
        <f t="shared" si="51"/>
        <v>5</v>
      </c>
      <c r="C225" s="54" t="s">
        <v>354</v>
      </c>
      <c r="D225" s="31" t="s">
        <v>355</v>
      </c>
      <c r="E225" s="32">
        <v>45565</v>
      </c>
      <c r="F225" s="33"/>
      <c r="G225" s="34">
        <v>10</v>
      </c>
      <c r="H225" s="35">
        <f t="shared" si="48"/>
        <v>0</v>
      </c>
      <c r="I225" s="33"/>
      <c r="J225" s="33"/>
      <c r="K225" s="33"/>
      <c r="L225" s="33"/>
      <c r="M225" s="33"/>
      <c r="N225" s="35">
        <f t="shared" si="49"/>
        <v>0</v>
      </c>
      <c r="O225" s="33"/>
      <c r="P225" s="36"/>
      <c r="Q225" s="36"/>
      <c r="R225" s="37">
        <f t="shared" si="50"/>
        <v>0</v>
      </c>
      <c r="S225" s="36"/>
      <c r="T225" s="38"/>
    </row>
    <row r="226" spans="2:20" ht="15.6" x14ac:dyDescent="0.3">
      <c r="B226" s="54">
        <f t="shared" si="51"/>
        <v>6</v>
      </c>
      <c r="C226" s="54" t="s">
        <v>356</v>
      </c>
      <c r="D226" s="31" t="s">
        <v>357</v>
      </c>
      <c r="E226" s="32">
        <v>45473</v>
      </c>
      <c r="F226" s="33">
        <v>141</v>
      </c>
      <c r="G226" s="34">
        <v>10</v>
      </c>
      <c r="H226" s="35">
        <f>+F226/G226</f>
        <v>14.1</v>
      </c>
      <c r="I226" s="33">
        <v>3.3124199999999999</v>
      </c>
      <c r="J226" s="33">
        <v>1020.930011</v>
      </c>
      <c r="K226" s="33">
        <v>0</v>
      </c>
      <c r="L226" s="33">
        <v>0</v>
      </c>
      <c r="M226" s="33">
        <v>-20.180288000000001</v>
      </c>
      <c r="N226" s="35">
        <f>+M226-O226</f>
        <v>0</v>
      </c>
      <c r="O226" s="33">
        <v>-20.180288000000001</v>
      </c>
      <c r="P226" s="36">
        <v>0</v>
      </c>
      <c r="Q226" s="36">
        <v>0</v>
      </c>
      <c r="R226" s="37">
        <f>SUM(P226:Q226)</f>
        <v>0</v>
      </c>
      <c r="S226" s="36"/>
      <c r="T226" s="38"/>
    </row>
    <row r="227" spans="2:20" ht="15.6" x14ac:dyDescent="0.3">
      <c r="B227" s="54">
        <f t="shared" si="51"/>
        <v>7</v>
      </c>
      <c r="C227" s="54" t="s">
        <v>358</v>
      </c>
      <c r="D227" s="43" t="s">
        <v>359</v>
      </c>
      <c r="E227" s="32">
        <v>45473</v>
      </c>
      <c r="F227" s="33">
        <v>607.88099999999997</v>
      </c>
      <c r="G227" s="34">
        <v>5</v>
      </c>
      <c r="H227" s="35">
        <f t="shared" si="48"/>
        <v>121.5762</v>
      </c>
      <c r="I227" s="33">
        <v>1344.50971</v>
      </c>
      <c r="J227" s="33">
        <v>2124.743399</v>
      </c>
      <c r="K227" s="33">
        <v>0</v>
      </c>
      <c r="L227" s="33">
        <v>1.050511</v>
      </c>
      <c r="M227" s="33">
        <v>-121.74587200000001</v>
      </c>
      <c r="N227" s="35">
        <f t="shared" si="49"/>
        <v>0</v>
      </c>
      <c r="O227" s="33">
        <v>-121.74587200000001</v>
      </c>
      <c r="P227" s="36">
        <v>0</v>
      </c>
      <c r="Q227" s="36">
        <v>0</v>
      </c>
      <c r="R227" s="37">
        <f t="shared" si="50"/>
        <v>0</v>
      </c>
      <c r="S227" s="36"/>
      <c r="T227" s="38">
        <v>1046</v>
      </c>
    </row>
    <row r="228" spans="2:20" ht="15.6" x14ac:dyDescent="0.3">
      <c r="B228" s="54">
        <f t="shared" si="51"/>
        <v>8</v>
      </c>
      <c r="C228" s="54" t="s">
        <v>360</v>
      </c>
      <c r="D228" s="31" t="s">
        <v>361</v>
      </c>
      <c r="E228" s="32">
        <v>45473</v>
      </c>
      <c r="F228" s="33"/>
      <c r="G228" s="34">
        <v>10</v>
      </c>
      <c r="H228" s="35">
        <f t="shared" si="48"/>
        <v>0</v>
      </c>
      <c r="I228" s="33"/>
      <c r="J228" s="33"/>
      <c r="K228" s="33"/>
      <c r="L228" s="33"/>
      <c r="M228" s="33"/>
      <c r="N228" s="35">
        <f t="shared" si="49"/>
        <v>0</v>
      </c>
      <c r="O228" s="33"/>
      <c r="P228" s="36"/>
      <c r="Q228" s="36"/>
      <c r="R228" s="37">
        <f t="shared" si="50"/>
        <v>0</v>
      </c>
      <c r="S228" s="36"/>
      <c r="T228" s="38"/>
    </row>
    <row r="229" spans="2:20" ht="15.6" x14ac:dyDescent="0.3">
      <c r="B229" s="54">
        <f t="shared" si="51"/>
        <v>9</v>
      </c>
      <c r="C229" s="54" t="s">
        <v>362</v>
      </c>
      <c r="D229" s="31" t="s">
        <v>363</v>
      </c>
      <c r="E229" s="32">
        <v>45473</v>
      </c>
      <c r="F229" s="33"/>
      <c r="G229" s="34">
        <v>10</v>
      </c>
      <c r="H229" s="35">
        <f t="shared" si="48"/>
        <v>0</v>
      </c>
      <c r="I229" s="33"/>
      <c r="J229" s="33"/>
      <c r="K229" s="33"/>
      <c r="L229" s="33"/>
      <c r="M229" s="33"/>
      <c r="N229" s="35">
        <f t="shared" si="49"/>
        <v>0</v>
      </c>
      <c r="O229" s="33"/>
      <c r="P229" s="36"/>
      <c r="Q229" s="36"/>
      <c r="R229" s="37">
        <f t="shared" si="50"/>
        <v>0</v>
      </c>
      <c r="S229" s="36"/>
      <c r="T229" s="38"/>
    </row>
    <row r="230" spans="2:20" ht="15.6" x14ac:dyDescent="0.3">
      <c r="B230" s="54">
        <f t="shared" si="51"/>
        <v>10</v>
      </c>
      <c r="C230" s="54" t="s">
        <v>364</v>
      </c>
      <c r="D230" s="43" t="s">
        <v>365</v>
      </c>
      <c r="E230" s="32">
        <v>45473</v>
      </c>
      <c r="F230" s="33">
        <v>30.524000000000001</v>
      </c>
      <c r="G230" s="34">
        <v>10</v>
      </c>
      <c r="H230" s="35">
        <f t="shared" si="48"/>
        <v>3.0524</v>
      </c>
      <c r="I230" s="33">
        <v>662.83044800000005</v>
      </c>
      <c r="J230" s="33">
        <v>786.31872599999997</v>
      </c>
      <c r="K230" s="33">
        <v>0</v>
      </c>
      <c r="L230" s="33">
        <v>6.0770999999999999E-2</v>
      </c>
      <c r="M230" s="33">
        <v>14.939451</v>
      </c>
      <c r="N230" s="35">
        <f t="shared" si="49"/>
        <v>8.5893000000000441E-2</v>
      </c>
      <c r="O230" s="33">
        <v>14.853558</v>
      </c>
      <c r="P230" s="36">
        <v>0</v>
      </c>
      <c r="Q230" s="36">
        <v>0</v>
      </c>
      <c r="R230" s="37">
        <f t="shared" si="50"/>
        <v>0</v>
      </c>
      <c r="S230" s="36"/>
      <c r="T230" s="38">
        <v>337</v>
      </c>
    </row>
    <row r="231" spans="2:20" ht="15.6" x14ac:dyDescent="0.3">
      <c r="B231" s="54">
        <f t="shared" si="51"/>
        <v>11</v>
      </c>
      <c r="C231" s="54" t="s">
        <v>366</v>
      </c>
      <c r="D231" s="31" t="s">
        <v>367</v>
      </c>
      <c r="E231" s="32">
        <v>45473</v>
      </c>
      <c r="F231" s="33">
        <v>460.64609000000002</v>
      </c>
      <c r="G231" s="34">
        <v>10</v>
      </c>
      <c r="H231" s="35">
        <f t="shared" si="48"/>
        <v>46.064609000000004</v>
      </c>
      <c r="I231" s="33">
        <v>-2739.2911340000001</v>
      </c>
      <c r="J231" s="33">
        <v>3341.1097629999999</v>
      </c>
      <c r="K231" s="33">
        <v>0</v>
      </c>
      <c r="L231" s="33">
        <v>26.133268000000001</v>
      </c>
      <c r="M231" s="33">
        <v>-161.32890599999999</v>
      </c>
      <c r="N231" s="35">
        <f t="shared" si="49"/>
        <v>-26.077413999999976</v>
      </c>
      <c r="O231" s="33">
        <v>-135.25149200000001</v>
      </c>
      <c r="P231" s="36">
        <v>0</v>
      </c>
      <c r="Q231" s="36">
        <v>0</v>
      </c>
      <c r="R231" s="37">
        <f t="shared" si="50"/>
        <v>0</v>
      </c>
      <c r="S231" s="36"/>
      <c r="T231" s="38">
        <v>320</v>
      </c>
    </row>
    <row r="232" spans="2:20" ht="15.6" x14ac:dyDescent="0.3">
      <c r="B232" s="54">
        <f t="shared" si="51"/>
        <v>12</v>
      </c>
      <c r="C232" s="54" t="s">
        <v>368</v>
      </c>
      <c r="D232" s="31" t="s">
        <v>369</v>
      </c>
      <c r="E232" s="32">
        <v>45473</v>
      </c>
      <c r="F232" s="33"/>
      <c r="G232" s="34">
        <v>10</v>
      </c>
      <c r="H232" s="35">
        <f t="shared" si="48"/>
        <v>0</v>
      </c>
      <c r="I232" s="33"/>
      <c r="J232" s="33"/>
      <c r="K232" s="33"/>
      <c r="L232" s="33"/>
      <c r="M232" s="33"/>
      <c r="N232" s="35">
        <f t="shared" si="49"/>
        <v>0</v>
      </c>
      <c r="O232" s="33"/>
      <c r="P232" s="36"/>
      <c r="Q232" s="36"/>
      <c r="R232" s="37">
        <f t="shared" si="50"/>
        <v>0</v>
      </c>
      <c r="S232" s="36"/>
      <c r="T232" s="38"/>
    </row>
    <row r="233" spans="2:20" ht="15.6" x14ac:dyDescent="0.3">
      <c r="B233" s="54">
        <f t="shared" si="51"/>
        <v>13</v>
      </c>
      <c r="C233" s="54" t="s">
        <v>370</v>
      </c>
      <c r="D233" s="31" t="s">
        <v>371</v>
      </c>
      <c r="E233" s="32">
        <v>45473</v>
      </c>
      <c r="F233" s="33">
        <v>163.66399999999999</v>
      </c>
      <c r="G233" s="34">
        <v>10</v>
      </c>
      <c r="H233" s="35">
        <f t="shared" si="48"/>
        <v>16.366399999999999</v>
      </c>
      <c r="I233" s="33">
        <v>50.34</v>
      </c>
      <c r="J233" s="33">
        <v>51.895000000000003</v>
      </c>
      <c r="K233" s="33">
        <v>0</v>
      </c>
      <c r="L233" s="33">
        <v>0</v>
      </c>
      <c r="M233" s="33">
        <v>-0.85799999999999998</v>
      </c>
      <c r="N233" s="35">
        <f t="shared" si="49"/>
        <v>0</v>
      </c>
      <c r="O233" s="33">
        <v>-0.85799999999999998</v>
      </c>
      <c r="P233" s="36">
        <v>0</v>
      </c>
      <c r="Q233" s="36">
        <v>0</v>
      </c>
      <c r="R233" s="37">
        <f t="shared" si="50"/>
        <v>0</v>
      </c>
      <c r="S233" s="36"/>
      <c r="T233" s="38">
        <v>474</v>
      </c>
    </row>
    <row r="234" spans="2:20" ht="15.6" x14ac:dyDescent="0.3">
      <c r="B234" s="54">
        <f t="shared" si="51"/>
        <v>14</v>
      </c>
      <c r="C234" s="54" t="s">
        <v>372</v>
      </c>
      <c r="D234" s="31" t="s">
        <v>373</v>
      </c>
      <c r="E234" s="32">
        <v>45473</v>
      </c>
      <c r="F234" s="33">
        <v>222.25038000000001</v>
      </c>
      <c r="G234" s="34">
        <v>10</v>
      </c>
      <c r="H234" s="35">
        <f t="shared" si="48"/>
        <v>22.225038000000001</v>
      </c>
      <c r="I234" s="33">
        <v>-2960.8047889999998</v>
      </c>
      <c r="J234" s="33">
        <v>200.946045</v>
      </c>
      <c r="K234" s="33">
        <v>0</v>
      </c>
      <c r="L234" s="33">
        <v>1.1769E-2</v>
      </c>
      <c r="M234" s="33">
        <v>-13.918817000000001</v>
      </c>
      <c r="N234" s="35">
        <f t="shared" si="49"/>
        <v>0</v>
      </c>
      <c r="O234" s="33">
        <v>-13.918817000000001</v>
      </c>
      <c r="P234" s="36">
        <v>0</v>
      </c>
      <c r="Q234" s="36">
        <v>0</v>
      </c>
      <c r="R234" s="37">
        <f t="shared" si="50"/>
        <v>0</v>
      </c>
      <c r="S234" s="36"/>
      <c r="T234" s="38">
        <v>3523</v>
      </c>
    </row>
    <row r="235" spans="2:20" ht="15.6" x14ac:dyDescent="0.3">
      <c r="B235" s="54">
        <f t="shared" si="51"/>
        <v>15</v>
      </c>
      <c r="C235" s="54" t="s">
        <v>374</v>
      </c>
      <c r="D235" s="31" t="s">
        <v>375</v>
      </c>
      <c r="E235" s="32">
        <v>45473</v>
      </c>
      <c r="F235" s="33">
        <v>146.41</v>
      </c>
      <c r="G235" s="34">
        <v>10</v>
      </c>
      <c r="H235" s="35">
        <f t="shared" si="48"/>
        <v>14.641</v>
      </c>
      <c r="I235" s="33">
        <v>-1681.1995420000001</v>
      </c>
      <c r="J235" s="33">
        <v>62.799563999999997</v>
      </c>
      <c r="K235" s="33">
        <v>0</v>
      </c>
      <c r="L235" s="33">
        <v>1.098E-3</v>
      </c>
      <c r="M235" s="33">
        <v>-186.24759900000001</v>
      </c>
      <c r="N235" s="35">
        <f t="shared" si="49"/>
        <v>0</v>
      </c>
      <c r="O235" s="33">
        <v>-186.24759900000001</v>
      </c>
      <c r="P235" s="36">
        <v>0</v>
      </c>
      <c r="Q235" s="36">
        <v>0</v>
      </c>
      <c r="R235" s="37">
        <f t="shared" si="50"/>
        <v>0</v>
      </c>
      <c r="S235" s="36"/>
      <c r="T235" s="38">
        <v>1755</v>
      </c>
    </row>
    <row r="236" spans="2:20" ht="15.6" x14ac:dyDescent="0.3">
      <c r="B236" s="54">
        <f t="shared" si="51"/>
        <v>16</v>
      </c>
      <c r="C236" s="54" t="s">
        <v>376</v>
      </c>
      <c r="D236" s="31" t="s">
        <v>377</v>
      </c>
      <c r="E236" s="32">
        <v>45473</v>
      </c>
      <c r="F236" s="33">
        <v>189.83899</v>
      </c>
      <c r="G236" s="34">
        <v>10</v>
      </c>
      <c r="H236" s="35">
        <f t="shared" si="48"/>
        <v>18.983899000000001</v>
      </c>
      <c r="I236" s="33">
        <v>-8355.3000100000008</v>
      </c>
      <c r="J236" s="33">
        <v>448.74374899999998</v>
      </c>
      <c r="K236" s="33">
        <v>0</v>
      </c>
      <c r="L236" s="33">
        <v>1.4782999999999999E-2</v>
      </c>
      <c r="M236" s="33">
        <v>735.25992299999996</v>
      </c>
      <c r="N236" s="35">
        <f t="shared" si="49"/>
        <v>0</v>
      </c>
      <c r="O236" s="33">
        <v>735.25992299999996</v>
      </c>
      <c r="P236" s="36">
        <v>0</v>
      </c>
      <c r="Q236" s="36">
        <v>0</v>
      </c>
      <c r="R236" s="37">
        <f t="shared" si="50"/>
        <v>0</v>
      </c>
      <c r="S236" s="36"/>
      <c r="T236" s="38">
        <v>1075</v>
      </c>
    </row>
    <row r="237" spans="2:20" ht="15.6" x14ac:dyDescent="0.3">
      <c r="B237" s="54">
        <f t="shared" si="51"/>
        <v>17</v>
      </c>
      <c r="C237" s="54" t="s">
        <v>378</v>
      </c>
      <c r="D237" s="43" t="s">
        <v>379</v>
      </c>
      <c r="E237" s="32">
        <v>45473</v>
      </c>
      <c r="F237" s="72"/>
      <c r="G237" s="73">
        <v>10</v>
      </c>
      <c r="H237" s="74">
        <f t="shared" si="48"/>
        <v>0</v>
      </c>
      <c r="I237" s="72"/>
      <c r="J237" s="72"/>
      <c r="K237" s="72"/>
      <c r="L237" s="72"/>
      <c r="M237" s="72"/>
      <c r="N237" s="74">
        <f t="shared" si="49"/>
        <v>0</v>
      </c>
      <c r="O237" s="72"/>
      <c r="P237" s="75"/>
      <c r="Q237" s="75"/>
      <c r="R237" s="76">
        <f t="shared" si="50"/>
        <v>0</v>
      </c>
      <c r="S237" s="75"/>
      <c r="T237" s="77"/>
    </row>
    <row r="238" spans="2:20" ht="15.6" x14ac:dyDescent="0.3">
      <c r="B238" s="54">
        <f t="shared" si="51"/>
        <v>18</v>
      </c>
      <c r="C238" s="54" t="s">
        <v>380</v>
      </c>
      <c r="D238" s="31" t="s">
        <v>381</v>
      </c>
      <c r="E238" s="32">
        <v>45473</v>
      </c>
      <c r="F238" s="33">
        <v>865.77919999999995</v>
      </c>
      <c r="G238" s="34">
        <v>10</v>
      </c>
      <c r="H238" s="35">
        <f t="shared" si="48"/>
        <v>86.577919999999992</v>
      </c>
      <c r="I238" s="33">
        <v>-577.41662099999996</v>
      </c>
      <c r="J238" s="33">
        <v>2947.9774050000001</v>
      </c>
      <c r="K238" s="33">
        <v>72.816368999999995</v>
      </c>
      <c r="L238" s="33">
        <v>115.341556</v>
      </c>
      <c r="M238" s="33">
        <v>-307.92235599999998</v>
      </c>
      <c r="N238" s="35">
        <f t="shared" si="49"/>
        <v>-26.66247199999998</v>
      </c>
      <c r="O238" s="33">
        <v>-281.259884</v>
      </c>
      <c r="P238" s="36">
        <v>0</v>
      </c>
      <c r="Q238" s="36">
        <v>0</v>
      </c>
      <c r="R238" s="37">
        <f t="shared" si="50"/>
        <v>0</v>
      </c>
      <c r="S238" s="36"/>
      <c r="T238" s="38">
        <v>1964</v>
      </c>
    </row>
    <row r="239" spans="2:20" ht="15.6" x14ac:dyDescent="0.3">
      <c r="B239" s="54">
        <f t="shared" si="51"/>
        <v>19</v>
      </c>
      <c r="C239" s="54" t="s">
        <v>382</v>
      </c>
      <c r="D239" s="31" t="s">
        <v>383</v>
      </c>
      <c r="E239" s="32">
        <v>45473</v>
      </c>
      <c r="F239" s="33">
        <v>119.7504</v>
      </c>
      <c r="G239" s="34">
        <v>10</v>
      </c>
      <c r="H239" s="35">
        <f t="shared" si="48"/>
        <v>11.97504</v>
      </c>
      <c r="I239" s="33">
        <v>4.513185</v>
      </c>
      <c r="J239" s="33">
        <v>10.070819999999999</v>
      </c>
      <c r="K239" s="33">
        <v>0</v>
      </c>
      <c r="L239" s="33">
        <v>3.2539999999999999E-3</v>
      </c>
      <c r="M239" s="33">
        <v>-5.3791279999999997</v>
      </c>
      <c r="N239" s="35">
        <f t="shared" si="49"/>
        <v>0</v>
      </c>
      <c r="O239" s="33">
        <v>-5.3791279999999997</v>
      </c>
      <c r="P239" s="36">
        <v>0</v>
      </c>
      <c r="Q239" s="36">
        <v>0</v>
      </c>
      <c r="R239" s="37">
        <f t="shared" si="50"/>
        <v>0</v>
      </c>
      <c r="S239" s="36"/>
      <c r="T239" s="38">
        <v>494</v>
      </c>
    </row>
    <row r="240" spans="2:20" ht="15.6" x14ac:dyDescent="0.3">
      <c r="B240" s="54">
        <f t="shared" si="51"/>
        <v>20</v>
      </c>
      <c r="C240" s="54" t="s">
        <v>384</v>
      </c>
      <c r="D240" s="31" t="s">
        <v>385</v>
      </c>
      <c r="E240" s="32">
        <v>45473</v>
      </c>
      <c r="F240" s="33">
        <v>107</v>
      </c>
      <c r="G240" s="34">
        <v>10</v>
      </c>
      <c r="H240" s="35">
        <f t="shared" si="48"/>
        <v>10.7</v>
      </c>
      <c r="I240" s="33">
        <v>-57.921678</v>
      </c>
      <c r="J240" s="33">
        <v>324.30700100000001</v>
      </c>
      <c r="K240" s="33">
        <v>0</v>
      </c>
      <c r="L240" s="33">
        <v>0.11978800000000001</v>
      </c>
      <c r="M240" s="33">
        <v>-6.9509550000000004</v>
      </c>
      <c r="N240" s="35">
        <f t="shared" si="49"/>
        <v>6.7738019999999999</v>
      </c>
      <c r="O240" s="33">
        <v>-13.724757</v>
      </c>
      <c r="P240" s="36">
        <v>0</v>
      </c>
      <c r="Q240" s="36">
        <v>0</v>
      </c>
      <c r="R240" s="37">
        <f t="shared" si="50"/>
        <v>0</v>
      </c>
      <c r="S240" s="36"/>
      <c r="T240" s="38">
        <v>1376</v>
      </c>
    </row>
    <row r="241" spans="2:20" ht="15.6" x14ac:dyDescent="0.3">
      <c r="B241" s="54">
        <f t="shared" si="51"/>
        <v>21</v>
      </c>
      <c r="C241" s="54" t="s">
        <v>386</v>
      </c>
      <c r="D241" s="31" t="s">
        <v>387</v>
      </c>
      <c r="E241" s="32">
        <v>45473</v>
      </c>
      <c r="F241" s="33">
        <v>230</v>
      </c>
      <c r="G241" s="34">
        <v>10</v>
      </c>
      <c r="H241" s="35">
        <f t="shared" si="48"/>
        <v>23</v>
      </c>
      <c r="I241" s="33">
        <v>139.06026499999999</v>
      </c>
      <c r="J241" s="33">
        <v>354.26553000000001</v>
      </c>
      <c r="K241" s="33">
        <v>7.5343600000000004</v>
      </c>
      <c r="L241" s="33">
        <v>4.1869999999999997E-3</v>
      </c>
      <c r="M241" s="33">
        <v>-15.845837</v>
      </c>
      <c r="N241" s="35">
        <f t="shared" si="49"/>
        <v>0.15274600000000049</v>
      </c>
      <c r="O241" s="33">
        <v>-15.998583</v>
      </c>
      <c r="P241" s="36">
        <v>0</v>
      </c>
      <c r="Q241" s="36">
        <v>0</v>
      </c>
      <c r="R241" s="37">
        <f t="shared" si="50"/>
        <v>0</v>
      </c>
      <c r="S241" s="36"/>
      <c r="T241" s="38">
        <v>770</v>
      </c>
    </row>
    <row r="242" spans="2:20" ht="15.6" x14ac:dyDescent="0.3">
      <c r="B242" s="54">
        <f t="shared" si="51"/>
        <v>22</v>
      </c>
      <c r="C242" s="54" t="s">
        <v>388</v>
      </c>
      <c r="D242" s="31" t="s">
        <v>389</v>
      </c>
      <c r="E242" s="32">
        <v>45473</v>
      </c>
      <c r="F242" s="33">
        <v>121.23699999999999</v>
      </c>
      <c r="G242" s="34">
        <v>10</v>
      </c>
      <c r="H242" s="35">
        <f>+F242/G242</f>
        <v>12.123699999999999</v>
      </c>
      <c r="I242" s="33">
        <v>-133.79590200000001</v>
      </c>
      <c r="J242" s="33">
        <v>119.718727</v>
      </c>
      <c r="K242" s="33">
        <v>0</v>
      </c>
      <c r="L242" s="33">
        <v>0</v>
      </c>
      <c r="M242" s="33">
        <v>-13.787236999999999</v>
      </c>
      <c r="N242" s="35">
        <f>+M242-O242</f>
        <v>-2.6091229999999985</v>
      </c>
      <c r="O242" s="33">
        <v>-11.178114000000001</v>
      </c>
      <c r="P242" s="36">
        <v>0</v>
      </c>
      <c r="Q242" s="36">
        <v>0</v>
      </c>
      <c r="R242" s="37">
        <f>SUM(P242:Q242)</f>
        <v>0</v>
      </c>
      <c r="S242" s="36"/>
      <c r="T242" s="38">
        <v>489</v>
      </c>
    </row>
    <row r="243" spans="2:20" ht="15.6" x14ac:dyDescent="0.3">
      <c r="B243" s="54">
        <f t="shared" si="51"/>
        <v>23</v>
      </c>
      <c r="C243" s="54" t="s">
        <v>390</v>
      </c>
      <c r="D243" s="43" t="s">
        <v>391</v>
      </c>
      <c r="E243" s="32">
        <v>45473</v>
      </c>
      <c r="F243" s="33">
        <v>522.14400000000001</v>
      </c>
      <c r="G243" s="34">
        <v>10</v>
      </c>
      <c r="H243" s="35">
        <f t="shared" si="48"/>
        <v>52.214399999999998</v>
      </c>
      <c r="I243" s="33">
        <v>704.88866499999995</v>
      </c>
      <c r="J243" s="33">
        <v>930.275892</v>
      </c>
      <c r="K243" s="33">
        <v>0</v>
      </c>
      <c r="L243" s="33">
        <v>3.0660479999999999</v>
      </c>
      <c r="M243" s="33">
        <v>-54.146318000000001</v>
      </c>
      <c r="N243" s="35">
        <f t="shared" si="49"/>
        <v>-8.9013740000000041</v>
      </c>
      <c r="O243" s="33">
        <v>-45.244943999999997</v>
      </c>
      <c r="P243" s="36">
        <v>0</v>
      </c>
      <c r="Q243" s="36">
        <v>0</v>
      </c>
      <c r="R243" s="37">
        <f t="shared" si="50"/>
        <v>0</v>
      </c>
      <c r="S243" s="36"/>
      <c r="T243" s="38">
        <v>939</v>
      </c>
    </row>
    <row r="244" spans="2:20" ht="15.6" x14ac:dyDescent="0.3">
      <c r="B244" s="54">
        <f t="shared" si="51"/>
        <v>24</v>
      </c>
      <c r="C244" s="54" t="s">
        <v>392</v>
      </c>
      <c r="D244" s="31" t="s">
        <v>393</v>
      </c>
      <c r="E244" s="32">
        <v>45473</v>
      </c>
      <c r="F244" s="33">
        <v>44.670360000000002</v>
      </c>
      <c r="G244" s="34">
        <v>10</v>
      </c>
      <c r="H244" s="35">
        <f t="shared" si="48"/>
        <v>4.4670360000000002</v>
      </c>
      <c r="I244" s="33">
        <v>-458.92364099999998</v>
      </c>
      <c r="J244" s="33">
        <v>734.07484399999998</v>
      </c>
      <c r="K244" s="33">
        <v>0</v>
      </c>
      <c r="L244" s="33">
        <v>0</v>
      </c>
      <c r="M244" s="33">
        <v>-24.996381</v>
      </c>
      <c r="N244" s="35">
        <f t="shared" si="49"/>
        <v>0</v>
      </c>
      <c r="O244" s="33">
        <v>-24.996381</v>
      </c>
      <c r="P244" s="36">
        <v>0</v>
      </c>
      <c r="Q244" s="36">
        <v>0</v>
      </c>
      <c r="R244" s="37">
        <f t="shared" si="50"/>
        <v>0</v>
      </c>
      <c r="S244" s="36"/>
      <c r="T244" s="38">
        <v>761</v>
      </c>
    </row>
    <row r="245" spans="2:20" ht="15.6" x14ac:dyDescent="0.3">
      <c r="B245" s="54">
        <f t="shared" si="51"/>
        <v>25</v>
      </c>
      <c r="C245" s="54" t="s">
        <v>394</v>
      </c>
      <c r="D245" s="31" t="s">
        <v>395</v>
      </c>
      <c r="E245" s="32">
        <v>45473</v>
      </c>
      <c r="F245" s="33">
        <v>87.75</v>
      </c>
      <c r="G245" s="34">
        <v>10</v>
      </c>
      <c r="H245" s="35">
        <f t="shared" si="48"/>
        <v>8.7750000000000004</v>
      </c>
      <c r="I245" s="33">
        <v>-472.13423899999998</v>
      </c>
      <c r="J245" s="33">
        <v>1496.491968</v>
      </c>
      <c r="K245" s="33">
        <v>0</v>
      </c>
      <c r="L245" s="33">
        <v>0</v>
      </c>
      <c r="M245" s="33">
        <v>-204.11677399999999</v>
      </c>
      <c r="N245" s="35">
        <f t="shared" si="49"/>
        <v>-9.0013759999999934</v>
      </c>
      <c r="O245" s="33">
        <v>-195.115398</v>
      </c>
      <c r="P245" s="36">
        <v>0</v>
      </c>
      <c r="Q245" s="36">
        <v>0</v>
      </c>
      <c r="R245" s="37">
        <f t="shared" si="50"/>
        <v>0</v>
      </c>
      <c r="S245" s="36"/>
      <c r="T245" s="38">
        <v>1530</v>
      </c>
    </row>
    <row r="246" spans="2:20" ht="15.6" x14ac:dyDescent="0.3">
      <c r="B246" s="54">
        <f t="shared" si="51"/>
        <v>26</v>
      </c>
      <c r="C246" s="54" t="s">
        <v>396</v>
      </c>
      <c r="D246" s="31" t="s">
        <v>397</v>
      </c>
      <c r="E246" s="32">
        <v>45473</v>
      </c>
      <c r="F246" s="33">
        <v>298.40607</v>
      </c>
      <c r="G246" s="34">
        <v>10</v>
      </c>
      <c r="H246" s="35">
        <f>+F246/G246</f>
        <v>29.840606999999999</v>
      </c>
      <c r="I246" s="33">
        <v>256.69052799999997</v>
      </c>
      <c r="J246" s="33">
        <v>1346.978959</v>
      </c>
      <c r="K246" s="33">
        <v>2222.8777829999999</v>
      </c>
      <c r="L246" s="33">
        <v>77.925151</v>
      </c>
      <c r="M246" s="33">
        <v>-308.69993199999999</v>
      </c>
      <c r="N246" s="35">
        <f>+M246-O246</f>
        <v>0</v>
      </c>
      <c r="O246" s="33">
        <v>-308.69993199999999</v>
      </c>
      <c r="P246" s="36">
        <v>0</v>
      </c>
      <c r="Q246" s="36">
        <v>0</v>
      </c>
      <c r="R246" s="37">
        <f>SUM(P246:Q246)</f>
        <v>0</v>
      </c>
      <c r="S246" s="36"/>
      <c r="T246" s="38">
        <v>983</v>
      </c>
    </row>
    <row r="247" spans="2:20" ht="15.6" x14ac:dyDescent="0.3">
      <c r="B247" s="25"/>
      <c r="C247" s="25"/>
      <c r="D247" s="25"/>
      <c r="E247" s="25"/>
      <c r="F247" s="25"/>
      <c r="G247" s="40"/>
      <c r="H247" s="41"/>
      <c r="I247" s="27"/>
      <c r="J247" s="27"/>
      <c r="K247" s="27"/>
      <c r="L247" s="27"/>
      <c r="M247" s="27"/>
      <c r="N247" s="42"/>
      <c r="O247" s="27"/>
      <c r="P247" s="27"/>
      <c r="Q247" s="27"/>
      <c r="R247" s="42"/>
      <c r="S247" s="27"/>
      <c r="T247" s="27"/>
    </row>
    <row r="248" spans="2:20" ht="15.6" x14ac:dyDescent="0.3">
      <c r="B248" s="44">
        <f>COUNT(B183:B247)</f>
        <v>62</v>
      </c>
      <c r="C248" s="44"/>
      <c r="D248" s="45"/>
      <c r="E248" s="45"/>
      <c r="F248" s="45">
        <f>SUM(F183:F247)</f>
        <v>24870.638015000011</v>
      </c>
      <c r="G248" s="46"/>
      <c r="H248" s="47">
        <f t="shared" ref="H248:O248" si="52">SUM(H183:H247)</f>
        <v>2776.1186409999996</v>
      </c>
      <c r="I248" s="45">
        <f t="shared" si="52"/>
        <v>152404.18490200001</v>
      </c>
      <c r="J248" s="45">
        <f t="shared" si="52"/>
        <v>453348.27304100012</v>
      </c>
      <c r="K248" s="45">
        <f t="shared" si="52"/>
        <v>497463.76361199998</v>
      </c>
      <c r="L248" s="45">
        <f t="shared" si="52"/>
        <v>31720.927746000001</v>
      </c>
      <c r="M248" s="45">
        <f t="shared" si="52"/>
        <v>-10168.739072000008</v>
      </c>
      <c r="N248" s="48">
        <f t="shared" si="52"/>
        <v>-1055.0709929999994</v>
      </c>
      <c r="O248" s="45">
        <f t="shared" si="52"/>
        <v>-9113.6680789999973</v>
      </c>
      <c r="P248" s="49"/>
      <c r="Q248" s="49"/>
      <c r="R248" s="50"/>
      <c r="S248" s="49"/>
      <c r="T248" s="51">
        <f>SUM(T183:T247)</f>
        <v>67310</v>
      </c>
    </row>
    <row r="249" spans="2:20" ht="15.6" x14ac:dyDescent="0.3">
      <c r="B249" s="25"/>
      <c r="C249" s="25"/>
      <c r="D249" s="25"/>
      <c r="E249" s="25"/>
      <c r="F249" s="25"/>
      <c r="G249" s="40"/>
      <c r="H249" s="41"/>
      <c r="I249" s="27"/>
      <c r="J249" s="27"/>
      <c r="K249" s="27"/>
      <c r="L249" s="27"/>
      <c r="M249" s="27"/>
      <c r="N249" s="42"/>
      <c r="O249" s="27"/>
      <c r="P249" s="27"/>
      <c r="Q249" s="27"/>
      <c r="R249" s="42"/>
      <c r="S249" s="27"/>
      <c r="T249" s="27"/>
    </row>
    <row r="250" spans="2:20" ht="15.6" x14ac:dyDescent="0.3">
      <c r="B250" s="25"/>
      <c r="C250" s="25"/>
      <c r="D250" s="25"/>
      <c r="E250" s="25"/>
      <c r="F250" s="25"/>
      <c r="G250" s="40"/>
      <c r="H250" s="41"/>
      <c r="I250" s="27"/>
      <c r="J250" s="27"/>
      <c r="K250" s="27"/>
      <c r="L250" s="27"/>
      <c r="M250" s="27"/>
      <c r="N250" s="42"/>
      <c r="O250" s="27"/>
      <c r="P250" s="27"/>
      <c r="Q250" s="27"/>
      <c r="R250" s="42"/>
      <c r="S250" s="27"/>
      <c r="T250" s="27"/>
    </row>
    <row r="251" spans="2:20" ht="18" x14ac:dyDescent="0.35">
      <c r="B251" s="25"/>
      <c r="C251" s="29">
        <v>9</v>
      </c>
      <c r="D251" s="29" t="s">
        <v>398</v>
      </c>
      <c r="E251" s="55"/>
      <c r="F251" s="55"/>
      <c r="G251" s="40"/>
      <c r="H251" s="41"/>
      <c r="I251" s="27"/>
      <c r="J251" s="27"/>
      <c r="K251" s="27"/>
      <c r="L251" s="27"/>
      <c r="M251" s="27"/>
      <c r="N251" s="42"/>
      <c r="O251" s="27"/>
      <c r="P251" s="27"/>
      <c r="Q251" s="27"/>
      <c r="R251" s="42"/>
      <c r="S251" s="27"/>
      <c r="T251" s="27"/>
    </row>
    <row r="252" spans="2:20" ht="15.6" x14ac:dyDescent="0.3">
      <c r="B252" s="25"/>
      <c r="C252" s="25"/>
      <c r="D252" s="25"/>
      <c r="E252" s="25"/>
      <c r="F252" s="25"/>
      <c r="G252" s="40"/>
      <c r="H252" s="41"/>
      <c r="I252" s="27"/>
      <c r="J252" s="27"/>
      <c r="K252" s="27"/>
      <c r="L252" s="27"/>
      <c r="M252" s="27"/>
      <c r="N252" s="42"/>
      <c r="O252" s="27"/>
      <c r="P252" s="27"/>
      <c r="Q252" s="27"/>
      <c r="R252" s="42"/>
      <c r="S252" s="27"/>
      <c r="T252" s="27"/>
    </row>
    <row r="253" spans="2:20" ht="15.6" x14ac:dyDescent="0.3">
      <c r="B253" s="54">
        <v>1</v>
      </c>
      <c r="C253" s="54" t="s">
        <v>399</v>
      </c>
      <c r="D253" s="31" t="s">
        <v>400</v>
      </c>
      <c r="E253" s="32">
        <v>45473</v>
      </c>
      <c r="F253" s="33">
        <v>465.65035</v>
      </c>
      <c r="G253" s="34">
        <v>10</v>
      </c>
      <c r="H253" s="35">
        <f t="shared" ref="H253:H258" si="53">+F253/G253</f>
        <v>46.565035000000002</v>
      </c>
      <c r="I253" s="33">
        <v>987.66420500000004</v>
      </c>
      <c r="J253" s="33">
        <v>1264.228787</v>
      </c>
      <c r="K253" s="33">
        <v>456.65069499999998</v>
      </c>
      <c r="L253" s="33">
        <v>3.673E-3</v>
      </c>
      <c r="M253" s="33">
        <v>-75.719386</v>
      </c>
      <c r="N253" s="35">
        <f t="shared" ref="N253:N258" si="54">+M253-O253</f>
        <v>-17.867952000000002</v>
      </c>
      <c r="O253" s="33">
        <v>-57.851433999999998</v>
      </c>
      <c r="P253" s="36">
        <v>0</v>
      </c>
      <c r="Q253" s="36">
        <v>0</v>
      </c>
      <c r="R253" s="37">
        <f t="shared" ref="R253:R258" si="55">SUM(P253:Q253)</f>
        <v>0</v>
      </c>
      <c r="S253" s="36"/>
      <c r="T253" s="38">
        <v>512</v>
      </c>
    </row>
    <row r="254" spans="2:20" ht="15.6" x14ac:dyDescent="0.3">
      <c r="B254" s="54">
        <f>+B253+1</f>
        <v>2</v>
      </c>
      <c r="C254" s="54" t="s">
        <v>401</v>
      </c>
      <c r="D254" s="31" t="s">
        <v>402</v>
      </c>
      <c r="E254" s="32">
        <v>45473</v>
      </c>
      <c r="F254" s="33">
        <v>300.01119999999997</v>
      </c>
      <c r="G254" s="34">
        <v>10</v>
      </c>
      <c r="H254" s="35">
        <f>+F254/G254</f>
        <v>30.001119999999997</v>
      </c>
      <c r="I254" s="33">
        <v>908.87784799999997</v>
      </c>
      <c r="J254" s="33">
        <v>1233.503271</v>
      </c>
      <c r="K254" s="33">
        <v>52.974017000000003</v>
      </c>
      <c r="L254" s="33">
        <v>0.13964599999999999</v>
      </c>
      <c r="M254" s="33">
        <v>-0.46448699999999998</v>
      </c>
      <c r="N254" s="35">
        <f>+M254-O254</f>
        <v>11.183536</v>
      </c>
      <c r="O254" s="33">
        <v>-11.648023</v>
      </c>
      <c r="P254" s="36">
        <v>0</v>
      </c>
      <c r="Q254" s="36">
        <v>0</v>
      </c>
      <c r="R254" s="37">
        <f>SUM(P254:Q254)</f>
        <v>0</v>
      </c>
      <c r="S254" s="36"/>
      <c r="T254" s="38">
        <v>1527</v>
      </c>
    </row>
    <row r="255" spans="2:20" ht="15.6" x14ac:dyDescent="0.3">
      <c r="B255" s="54">
        <f t="shared" ref="B255:B258" si="56">+B254+1</f>
        <v>3</v>
      </c>
      <c r="C255" s="54" t="s">
        <v>403</v>
      </c>
      <c r="D255" s="31" t="s">
        <v>404</v>
      </c>
      <c r="E255" s="32">
        <v>45473</v>
      </c>
      <c r="F255" s="33">
        <v>184.8</v>
      </c>
      <c r="G255" s="34">
        <v>10</v>
      </c>
      <c r="H255" s="35">
        <f t="shared" si="53"/>
        <v>18.48</v>
      </c>
      <c r="I255" s="33">
        <v>2329.127966</v>
      </c>
      <c r="J255" s="33">
        <v>7191.9343580000004</v>
      </c>
      <c r="K255" s="33">
        <v>18745.627986</v>
      </c>
      <c r="L255" s="33">
        <v>408.80401899999998</v>
      </c>
      <c r="M255" s="33">
        <v>-6.9936829999999999</v>
      </c>
      <c r="N255" s="35">
        <f t="shared" si="54"/>
        <v>-93.64848400000001</v>
      </c>
      <c r="O255" s="33">
        <v>86.654801000000006</v>
      </c>
      <c r="P255" s="36">
        <v>25</v>
      </c>
      <c r="Q255" s="36">
        <v>0</v>
      </c>
      <c r="R255" s="37">
        <f t="shared" si="55"/>
        <v>25</v>
      </c>
      <c r="S255" s="36"/>
      <c r="T255" s="38">
        <v>547</v>
      </c>
    </row>
    <row r="256" spans="2:20" ht="15.6" x14ac:dyDescent="0.3">
      <c r="B256" s="54">
        <f t="shared" si="56"/>
        <v>4</v>
      </c>
      <c r="C256" s="54" t="s">
        <v>405</v>
      </c>
      <c r="D256" s="31" t="s">
        <v>406</v>
      </c>
      <c r="E256" s="32">
        <v>45473</v>
      </c>
      <c r="F256" s="33">
        <v>96.6</v>
      </c>
      <c r="G256" s="34">
        <v>10</v>
      </c>
      <c r="H256" s="35">
        <f t="shared" si="53"/>
        <v>9.66</v>
      </c>
      <c r="I256" s="33">
        <v>1792.242</v>
      </c>
      <c r="J256" s="33">
        <v>4450.67</v>
      </c>
      <c r="K256" s="33">
        <v>7953.4279999999999</v>
      </c>
      <c r="L256" s="33">
        <v>318.005</v>
      </c>
      <c r="M256" s="33">
        <v>-7.06</v>
      </c>
      <c r="N256" s="35">
        <f t="shared" si="54"/>
        <v>-34.252000000000002</v>
      </c>
      <c r="O256" s="33">
        <v>27.192</v>
      </c>
      <c r="P256" s="36">
        <v>10</v>
      </c>
      <c r="Q256" s="36">
        <v>0</v>
      </c>
      <c r="R256" s="37">
        <f t="shared" si="55"/>
        <v>10</v>
      </c>
      <c r="S256" s="36"/>
      <c r="T256" s="38">
        <v>1144</v>
      </c>
    </row>
    <row r="257" spans="2:20" ht="15.6" x14ac:dyDescent="0.3">
      <c r="B257" s="54">
        <f t="shared" si="56"/>
        <v>5</v>
      </c>
      <c r="C257" s="54" t="s">
        <v>407</v>
      </c>
      <c r="D257" s="31" t="s">
        <v>408</v>
      </c>
      <c r="E257" s="32">
        <v>45473</v>
      </c>
      <c r="F257" s="33">
        <v>1360</v>
      </c>
      <c r="G257" s="34">
        <v>10</v>
      </c>
      <c r="H257" s="35">
        <f>+F257/G257</f>
        <v>136</v>
      </c>
      <c r="I257" s="33">
        <v>498.513442</v>
      </c>
      <c r="J257" s="33">
        <v>1923.4655680000001</v>
      </c>
      <c r="K257" s="33">
        <v>527.64007000000004</v>
      </c>
      <c r="L257" s="33">
        <v>4.6400129999999997</v>
      </c>
      <c r="M257" s="33">
        <v>-49.205091000000003</v>
      </c>
      <c r="N257" s="35">
        <f>+M257-O257</f>
        <v>0</v>
      </c>
      <c r="O257" s="33">
        <v>-49.205091000000003</v>
      </c>
      <c r="P257" s="36">
        <v>0</v>
      </c>
      <c r="Q257" s="36">
        <v>0</v>
      </c>
      <c r="R257" s="37">
        <f>SUM(P257:Q257)</f>
        <v>0</v>
      </c>
      <c r="S257" s="36"/>
      <c r="T257" s="38">
        <v>2944</v>
      </c>
    </row>
    <row r="258" spans="2:20" ht="15.6" x14ac:dyDescent="0.3">
      <c r="B258" s="54">
        <f t="shared" si="56"/>
        <v>6</v>
      </c>
      <c r="C258" s="54" t="s">
        <v>409</v>
      </c>
      <c r="D258" s="31" t="s">
        <v>410</v>
      </c>
      <c r="E258" s="32">
        <v>45473</v>
      </c>
      <c r="F258" s="33">
        <v>594.28728999999998</v>
      </c>
      <c r="G258" s="34">
        <v>10</v>
      </c>
      <c r="H258" s="35">
        <f t="shared" si="53"/>
        <v>59.428728999999997</v>
      </c>
      <c r="I258" s="33">
        <v>2574.9087009999998</v>
      </c>
      <c r="J258" s="33">
        <v>5700.1132589999997</v>
      </c>
      <c r="K258" s="33">
        <v>8393.8752559999994</v>
      </c>
      <c r="L258" s="33">
        <v>293.00332300000002</v>
      </c>
      <c r="M258" s="33">
        <v>59.749422000000003</v>
      </c>
      <c r="N258" s="35">
        <f t="shared" si="54"/>
        <v>14.095776000000001</v>
      </c>
      <c r="O258" s="33">
        <v>45.653646000000002</v>
      </c>
      <c r="P258" s="36">
        <v>0</v>
      </c>
      <c r="Q258" s="36">
        <v>0</v>
      </c>
      <c r="R258" s="37">
        <f t="shared" si="55"/>
        <v>0</v>
      </c>
      <c r="S258" s="36"/>
      <c r="T258" s="38">
        <v>467</v>
      </c>
    </row>
    <row r="259" spans="2:20" ht="15.6" x14ac:dyDescent="0.3">
      <c r="B259" s="25"/>
      <c r="C259" s="25"/>
      <c r="D259" s="25"/>
      <c r="E259" s="25"/>
      <c r="F259" s="25"/>
      <c r="G259" s="40"/>
      <c r="H259" s="41"/>
      <c r="I259" s="27"/>
      <c r="J259" s="27"/>
      <c r="K259" s="27"/>
      <c r="L259" s="27"/>
      <c r="M259" s="27"/>
      <c r="N259" s="42"/>
      <c r="O259" s="27"/>
      <c r="P259" s="27"/>
      <c r="Q259" s="27"/>
      <c r="R259" s="42"/>
      <c r="S259" s="27"/>
      <c r="T259" s="27"/>
    </row>
    <row r="260" spans="2:20" ht="18" x14ac:dyDescent="0.35">
      <c r="B260" s="25"/>
      <c r="C260" s="25"/>
      <c r="D260" s="53" t="s">
        <v>1127</v>
      </c>
      <c r="E260" s="25"/>
      <c r="F260" s="25"/>
      <c r="G260" s="40"/>
      <c r="H260" s="41"/>
      <c r="I260" s="27"/>
      <c r="J260" s="27"/>
      <c r="K260" s="27"/>
      <c r="L260" s="27"/>
      <c r="M260" s="27"/>
      <c r="N260" s="42"/>
      <c r="O260" s="27"/>
      <c r="P260" s="27"/>
      <c r="Q260" s="27"/>
      <c r="R260" s="42"/>
      <c r="S260" s="27"/>
      <c r="T260" s="27"/>
    </row>
    <row r="261" spans="2:20" ht="15.6" x14ac:dyDescent="0.3">
      <c r="B261" s="54">
        <v>1</v>
      </c>
      <c r="C261" s="54" t="s">
        <v>411</v>
      </c>
      <c r="D261" s="31" t="s">
        <v>412</v>
      </c>
      <c r="E261" s="32">
        <v>45565</v>
      </c>
      <c r="F261" s="33"/>
      <c r="G261" s="34">
        <v>10</v>
      </c>
      <c r="H261" s="35">
        <f t="shared" ref="H261:H263" si="57">+F261/G261</f>
        <v>0</v>
      </c>
      <c r="I261" s="33"/>
      <c r="J261" s="33"/>
      <c r="K261" s="33"/>
      <c r="L261" s="33"/>
      <c r="M261" s="33"/>
      <c r="N261" s="35">
        <f t="shared" ref="N261:N263" si="58">+M261-O261</f>
        <v>0</v>
      </c>
      <c r="O261" s="33"/>
      <c r="P261" s="36"/>
      <c r="Q261" s="36"/>
      <c r="R261" s="37">
        <f t="shared" ref="R261:R263" si="59">SUM(P261:Q261)</f>
        <v>0</v>
      </c>
      <c r="S261" s="36"/>
      <c r="T261" s="38"/>
    </row>
    <row r="262" spans="2:20" ht="15.6" x14ac:dyDescent="0.3">
      <c r="B262" s="54">
        <f>+B261+1</f>
        <v>2</v>
      </c>
      <c r="C262" s="54" t="s">
        <v>413</v>
      </c>
      <c r="D262" s="31" t="s">
        <v>414</v>
      </c>
      <c r="E262" s="32">
        <v>45565</v>
      </c>
      <c r="F262" s="33"/>
      <c r="G262" s="34">
        <v>10</v>
      </c>
      <c r="H262" s="35">
        <f t="shared" si="57"/>
        <v>0</v>
      </c>
      <c r="I262" s="33"/>
      <c r="J262" s="33"/>
      <c r="K262" s="33"/>
      <c r="L262" s="33"/>
      <c r="M262" s="33"/>
      <c r="N262" s="35">
        <f t="shared" si="58"/>
        <v>0</v>
      </c>
      <c r="O262" s="33"/>
      <c r="P262" s="36"/>
      <c r="Q262" s="36"/>
      <c r="R262" s="37">
        <f t="shared" si="59"/>
        <v>0</v>
      </c>
      <c r="S262" s="36"/>
      <c r="T262" s="38"/>
    </row>
    <row r="263" spans="2:20" ht="15.6" x14ac:dyDescent="0.3">
      <c r="B263" s="54">
        <f t="shared" ref="B263" si="60">+B262+1</f>
        <v>3</v>
      </c>
      <c r="C263" s="54" t="s">
        <v>415</v>
      </c>
      <c r="D263" s="31" t="s">
        <v>416</v>
      </c>
      <c r="E263" s="32">
        <v>45565</v>
      </c>
      <c r="F263" s="33"/>
      <c r="G263" s="34">
        <v>10</v>
      </c>
      <c r="H263" s="35">
        <f t="shared" si="57"/>
        <v>0</v>
      </c>
      <c r="I263" s="33"/>
      <c r="J263" s="33"/>
      <c r="K263" s="33"/>
      <c r="L263" s="33"/>
      <c r="M263" s="33"/>
      <c r="N263" s="35">
        <f t="shared" si="58"/>
        <v>0</v>
      </c>
      <c r="O263" s="33"/>
      <c r="P263" s="36"/>
      <c r="Q263" s="36"/>
      <c r="R263" s="37">
        <f t="shared" si="59"/>
        <v>0</v>
      </c>
      <c r="S263" s="36"/>
      <c r="T263" s="38"/>
    </row>
    <row r="264" spans="2:20" ht="15.6" x14ac:dyDescent="0.3">
      <c r="B264" s="25"/>
      <c r="C264" s="25"/>
      <c r="D264" s="25"/>
      <c r="E264" s="25"/>
      <c r="F264" s="25"/>
      <c r="G264" s="40"/>
      <c r="H264" s="41"/>
      <c r="I264" s="27"/>
      <c r="J264" s="27"/>
      <c r="K264" s="27"/>
      <c r="L264" s="27"/>
      <c r="M264" s="27"/>
      <c r="N264" s="42"/>
      <c r="O264" s="27"/>
      <c r="P264" s="27"/>
      <c r="Q264" s="27"/>
      <c r="R264" s="42"/>
      <c r="S264" s="27"/>
      <c r="T264" s="27"/>
    </row>
    <row r="265" spans="2:20" ht="15.6" x14ac:dyDescent="0.3">
      <c r="B265" s="44">
        <f>COUNT(B253:B264)</f>
        <v>9</v>
      </c>
      <c r="C265" s="44"/>
      <c r="D265" s="45"/>
      <c r="E265" s="45"/>
      <c r="F265" s="45">
        <f>SUM(F253:F264)</f>
        <v>3001.3488399999997</v>
      </c>
      <c r="G265" s="46"/>
      <c r="H265" s="47">
        <f t="shared" ref="H265:O265" si="61">SUM(H253:H264)</f>
        <v>300.134884</v>
      </c>
      <c r="I265" s="45">
        <f t="shared" si="61"/>
        <v>9091.334162000001</v>
      </c>
      <c r="J265" s="45">
        <f t="shared" si="61"/>
        <v>21763.915242999999</v>
      </c>
      <c r="K265" s="45">
        <f t="shared" si="61"/>
        <v>36130.196024000004</v>
      </c>
      <c r="L265" s="45">
        <f t="shared" si="61"/>
        <v>1024.5956740000001</v>
      </c>
      <c r="M265" s="45">
        <f t="shared" si="61"/>
        <v>-79.693225000000012</v>
      </c>
      <c r="N265" s="48">
        <f t="shared" si="61"/>
        <v>-120.489124</v>
      </c>
      <c r="O265" s="45">
        <f t="shared" si="61"/>
        <v>40.795899000000013</v>
      </c>
      <c r="P265" s="49"/>
      <c r="Q265" s="49"/>
      <c r="R265" s="50"/>
      <c r="S265" s="49"/>
      <c r="T265" s="51">
        <f>SUM(T253:T264)</f>
        <v>7141</v>
      </c>
    </row>
    <row r="266" spans="2:20" ht="15.6" x14ac:dyDescent="0.3">
      <c r="B266" s="25"/>
      <c r="C266" s="25"/>
      <c r="D266" s="25"/>
      <c r="E266" s="25"/>
      <c r="F266" s="25"/>
      <c r="G266" s="40"/>
      <c r="H266" s="41"/>
      <c r="I266" s="27"/>
      <c r="J266" s="27"/>
      <c r="K266" s="27"/>
      <c r="L266" s="27"/>
      <c r="M266" s="27"/>
      <c r="N266" s="42"/>
      <c r="O266" s="27"/>
      <c r="P266" s="27"/>
      <c r="Q266" s="27"/>
      <c r="R266" s="42"/>
      <c r="S266" s="27"/>
      <c r="T266" s="27"/>
    </row>
    <row r="267" spans="2:20" ht="15.6" x14ac:dyDescent="0.3">
      <c r="B267" s="25"/>
      <c r="C267" s="25"/>
      <c r="D267" s="25"/>
      <c r="E267" s="25"/>
      <c r="F267" s="25"/>
      <c r="G267" s="40"/>
      <c r="H267" s="41"/>
      <c r="I267" s="27"/>
      <c r="J267" s="27"/>
      <c r="K267" s="27"/>
      <c r="L267" s="27"/>
      <c r="M267" s="27"/>
      <c r="N267" s="42"/>
      <c r="O267" s="27"/>
      <c r="P267" s="27"/>
      <c r="Q267" s="27"/>
      <c r="R267" s="42"/>
      <c r="S267" s="27"/>
      <c r="T267" s="27"/>
    </row>
    <row r="268" spans="2:20" ht="18" x14ac:dyDescent="0.35">
      <c r="B268" s="25"/>
      <c r="C268" s="29">
        <v>10</v>
      </c>
      <c r="D268" s="29" t="s">
        <v>417</v>
      </c>
      <c r="E268" s="55"/>
      <c r="F268" s="55"/>
      <c r="G268" s="40"/>
      <c r="H268" s="41"/>
      <c r="I268" s="27"/>
      <c r="J268" s="27"/>
      <c r="K268" s="27"/>
      <c r="L268" s="27"/>
      <c r="M268" s="27"/>
      <c r="N268" s="42"/>
      <c r="O268" s="27"/>
      <c r="P268" s="27"/>
      <c r="Q268" s="27"/>
      <c r="R268" s="42"/>
      <c r="S268" s="27"/>
      <c r="T268" s="27"/>
    </row>
    <row r="269" spans="2:20" ht="15.6" x14ac:dyDescent="0.3">
      <c r="B269" s="25"/>
      <c r="C269" s="25"/>
      <c r="D269" s="25"/>
      <c r="E269" s="25"/>
      <c r="F269" s="25"/>
      <c r="G269" s="40"/>
      <c r="H269" s="41"/>
      <c r="I269" s="27"/>
      <c r="J269" s="27"/>
      <c r="K269" s="27"/>
      <c r="L269" s="27"/>
      <c r="M269" s="27"/>
      <c r="N269" s="42"/>
      <c r="O269" s="27"/>
      <c r="P269" s="27"/>
      <c r="Q269" s="27"/>
      <c r="R269" s="42"/>
      <c r="S269" s="27"/>
      <c r="T269" s="27"/>
    </row>
    <row r="270" spans="2:20" ht="15.6" x14ac:dyDescent="0.3">
      <c r="B270" s="54">
        <v>1</v>
      </c>
      <c r="C270" s="54" t="s">
        <v>418</v>
      </c>
      <c r="D270" s="31" t="s">
        <v>419</v>
      </c>
      <c r="E270" s="32">
        <v>45473</v>
      </c>
      <c r="F270" s="33">
        <v>840</v>
      </c>
      <c r="G270" s="34">
        <v>10</v>
      </c>
      <c r="H270" s="35">
        <f t="shared" ref="H270:H303" si="62">+F270/G270</f>
        <v>84</v>
      </c>
      <c r="I270" s="33">
        <v>8099.2460000000001</v>
      </c>
      <c r="J270" s="33">
        <v>22833.808000000001</v>
      </c>
      <c r="K270" s="33">
        <v>20810.385999999999</v>
      </c>
      <c r="L270" s="33">
        <v>1218.895</v>
      </c>
      <c r="M270" s="33">
        <v>413.54399999999998</v>
      </c>
      <c r="N270" s="35">
        <f t="shared" ref="N270:N303" si="63">+M270-O270</f>
        <v>81.824999999999989</v>
      </c>
      <c r="O270" s="33">
        <v>331.71899999999999</v>
      </c>
      <c r="P270" s="36">
        <v>10</v>
      </c>
      <c r="Q270" s="36">
        <v>0</v>
      </c>
      <c r="R270" s="37">
        <f t="shared" ref="R270:R303" si="64">SUM(P270:Q270)</f>
        <v>10</v>
      </c>
      <c r="S270" s="36"/>
      <c r="T270" s="38">
        <v>1033</v>
      </c>
    </row>
    <row r="271" spans="2:20" ht="15.6" x14ac:dyDescent="0.3">
      <c r="B271" s="54">
        <f>+B270+1</f>
        <v>2</v>
      </c>
      <c r="C271" s="54" t="s">
        <v>420</v>
      </c>
      <c r="D271" s="31" t="s">
        <v>421</v>
      </c>
      <c r="E271" s="32">
        <v>45473</v>
      </c>
      <c r="F271" s="33">
        <v>84.715350000000001</v>
      </c>
      <c r="G271" s="34">
        <v>10</v>
      </c>
      <c r="H271" s="35">
        <f t="shared" si="62"/>
        <v>8.4715349999999994</v>
      </c>
      <c r="I271" s="33">
        <v>1834.097614</v>
      </c>
      <c r="J271" s="33">
        <v>3903.4193749999999</v>
      </c>
      <c r="K271" s="33">
        <v>5078.314652</v>
      </c>
      <c r="L271" s="33">
        <v>132.396691</v>
      </c>
      <c r="M271" s="33">
        <v>55.670538999999998</v>
      </c>
      <c r="N271" s="35">
        <f t="shared" si="63"/>
        <v>15.009709999999998</v>
      </c>
      <c r="O271" s="33">
        <v>40.660829</v>
      </c>
      <c r="P271" s="36">
        <v>0</v>
      </c>
      <c r="Q271" s="36">
        <v>0</v>
      </c>
      <c r="R271" s="37">
        <f t="shared" si="64"/>
        <v>0</v>
      </c>
      <c r="S271" s="36"/>
      <c r="T271" s="38">
        <v>663</v>
      </c>
    </row>
    <row r="272" spans="2:20" ht="15.6" x14ac:dyDescent="0.3">
      <c r="B272" s="54">
        <f t="shared" ref="B272:B303" si="65">+B271+1</f>
        <v>3</v>
      </c>
      <c r="C272" s="54" t="s">
        <v>422</v>
      </c>
      <c r="D272" s="31" t="s">
        <v>423</v>
      </c>
      <c r="E272" s="32">
        <v>45473</v>
      </c>
      <c r="F272" s="33">
        <v>4854.0973100000001</v>
      </c>
      <c r="G272" s="34">
        <v>10</v>
      </c>
      <c r="H272" s="35">
        <f t="shared" si="62"/>
        <v>485.40973100000002</v>
      </c>
      <c r="I272" s="33">
        <v>13701.048677000001</v>
      </c>
      <c r="J272" s="33">
        <v>28027.377648999998</v>
      </c>
      <c r="K272" s="33">
        <v>36738.685104999997</v>
      </c>
      <c r="L272" s="33">
        <v>1091.439455</v>
      </c>
      <c r="M272" s="33">
        <v>602.90114800000003</v>
      </c>
      <c r="N272" s="35">
        <f t="shared" si="63"/>
        <v>73.325475999999981</v>
      </c>
      <c r="O272" s="33">
        <v>529.57567200000005</v>
      </c>
      <c r="P272" s="36">
        <v>0</v>
      </c>
      <c r="Q272" s="36">
        <v>0</v>
      </c>
      <c r="R272" s="37">
        <f t="shared" si="64"/>
        <v>0</v>
      </c>
      <c r="S272" s="79"/>
      <c r="T272" s="38">
        <v>6342</v>
      </c>
    </row>
    <row r="273" spans="2:20" ht="15.6" x14ac:dyDescent="0.3">
      <c r="B273" s="54">
        <f t="shared" si="65"/>
        <v>4</v>
      </c>
      <c r="C273" s="54" t="s">
        <v>424</v>
      </c>
      <c r="D273" s="31" t="s">
        <v>425</v>
      </c>
      <c r="E273" s="32">
        <v>45473</v>
      </c>
      <c r="F273" s="33">
        <v>96.6</v>
      </c>
      <c r="G273" s="34">
        <v>10</v>
      </c>
      <c r="H273" s="35">
        <f t="shared" si="62"/>
        <v>9.66</v>
      </c>
      <c r="I273" s="33">
        <v>818.65</v>
      </c>
      <c r="J273" s="33">
        <v>1920.675</v>
      </c>
      <c r="K273" s="33">
        <v>3460.0889999999999</v>
      </c>
      <c r="L273" s="33">
        <v>50.177999999999997</v>
      </c>
      <c r="M273" s="33">
        <v>-114.542</v>
      </c>
      <c r="N273" s="35">
        <f t="shared" si="63"/>
        <v>-4.1659999999999968</v>
      </c>
      <c r="O273" s="33">
        <v>-110.376</v>
      </c>
      <c r="P273" s="36">
        <v>0</v>
      </c>
      <c r="Q273" s="36">
        <v>0</v>
      </c>
      <c r="R273" s="37">
        <f t="shared" si="64"/>
        <v>0</v>
      </c>
      <c r="S273" s="36"/>
      <c r="T273" s="38">
        <v>939</v>
      </c>
    </row>
    <row r="274" spans="2:20" ht="15.6" x14ac:dyDescent="0.3">
      <c r="B274" s="54">
        <f t="shared" si="65"/>
        <v>5</v>
      </c>
      <c r="C274" s="54" t="s">
        <v>426</v>
      </c>
      <c r="D274" s="31" t="s">
        <v>427</v>
      </c>
      <c r="E274" s="32">
        <v>45473</v>
      </c>
      <c r="F274" s="33">
        <v>30.40964</v>
      </c>
      <c r="G274" s="34">
        <v>10</v>
      </c>
      <c r="H274" s="35">
        <f t="shared" si="62"/>
        <v>3.0409639999999998</v>
      </c>
      <c r="I274" s="33">
        <v>10863.113681999999</v>
      </c>
      <c r="J274" s="33">
        <v>26664.941156000001</v>
      </c>
      <c r="K274" s="33">
        <v>33057.244654000002</v>
      </c>
      <c r="L274" s="33">
        <v>1866.2399069999999</v>
      </c>
      <c r="M274" s="33">
        <v>-188.27316999999999</v>
      </c>
      <c r="N274" s="35">
        <f t="shared" si="63"/>
        <v>-56.512018999999981</v>
      </c>
      <c r="O274" s="33">
        <v>-131.76115100000001</v>
      </c>
      <c r="P274" s="36">
        <v>0</v>
      </c>
      <c r="Q274" s="36">
        <v>0</v>
      </c>
      <c r="R274" s="37">
        <f t="shared" si="64"/>
        <v>0</v>
      </c>
      <c r="S274" s="36"/>
      <c r="T274" s="38">
        <v>436</v>
      </c>
    </row>
    <row r="275" spans="2:20" ht="15.6" x14ac:dyDescent="0.3">
      <c r="B275" s="54">
        <f t="shared" si="65"/>
        <v>6</v>
      </c>
      <c r="C275" s="54" t="s">
        <v>428</v>
      </c>
      <c r="D275" s="31" t="s">
        <v>429</v>
      </c>
      <c r="E275" s="32">
        <v>45473</v>
      </c>
      <c r="F275" s="33">
        <v>64.319999999999993</v>
      </c>
      <c r="G275" s="34">
        <v>10</v>
      </c>
      <c r="H275" s="35">
        <f t="shared" si="62"/>
        <v>6.4319999999999995</v>
      </c>
      <c r="I275" s="33">
        <v>8082.5623180000002</v>
      </c>
      <c r="J275" s="33">
        <v>14950.212436</v>
      </c>
      <c r="K275" s="33">
        <v>31821.773255</v>
      </c>
      <c r="L275" s="33">
        <v>1988.895082</v>
      </c>
      <c r="M275" s="33">
        <v>-1706.2314650000001</v>
      </c>
      <c r="N275" s="35">
        <f t="shared" si="63"/>
        <v>0</v>
      </c>
      <c r="O275" s="33">
        <v>-1706.2314650000001</v>
      </c>
      <c r="P275" s="36">
        <v>0</v>
      </c>
      <c r="Q275" s="36">
        <v>0</v>
      </c>
      <c r="R275" s="37">
        <f t="shared" si="64"/>
        <v>0</v>
      </c>
      <c r="S275" s="36"/>
      <c r="T275" s="38">
        <v>679</v>
      </c>
    </row>
    <row r="276" spans="2:20" ht="15.6" x14ac:dyDescent="0.3">
      <c r="B276" s="54">
        <f t="shared" si="65"/>
        <v>7</v>
      </c>
      <c r="C276" s="54" t="s">
        <v>430</v>
      </c>
      <c r="D276" s="31" t="s">
        <v>431</v>
      </c>
      <c r="E276" s="32">
        <v>45473</v>
      </c>
      <c r="F276" s="33">
        <v>1150</v>
      </c>
      <c r="G276" s="34">
        <v>10</v>
      </c>
      <c r="H276" s="35">
        <f t="shared" si="62"/>
        <v>115</v>
      </c>
      <c r="I276" s="33">
        <v>72.736434000000003</v>
      </c>
      <c r="J276" s="33">
        <v>10918.698037</v>
      </c>
      <c r="K276" s="33">
        <v>3342.302314</v>
      </c>
      <c r="L276" s="33">
        <v>243.71200200000001</v>
      </c>
      <c r="M276" s="33">
        <v>-326.20938699999999</v>
      </c>
      <c r="N276" s="35">
        <f t="shared" si="63"/>
        <v>0</v>
      </c>
      <c r="O276" s="33">
        <v>-326.20938699999999</v>
      </c>
      <c r="P276" s="36">
        <v>0</v>
      </c>
      <c r="Q276" s="36">
        <v>0</v>
      </c>
      <c r="R276" s="37">
        <f t="shared" ref="R276" si="66">SUM(P276:Q276)</f>
        <v>0</v>
      </c>
      <c r="S276" s="36"/>
      <c r="T276" s="38">
        <v>2020</v>
      </c>
    </row>
    <row r="277" spans="2:20" ht="15.6" x14ac:dyDescent="0.3">
      <c r="B277" s="54">
        <f t="shared" si="65"/>
        <v>8</v>
      </c>
      <c r="C277" s="54" t="s">
        <v>432</v>
      </c>
      <c r="D277" s="31" t="s">
        <v>433</v>
      </c>
      <c r="E277" s="32">
        <v>45473</v>
      </c>
      <c r="F277" s="33">
        <v>1000</v>
      </c>
      <c r="G277" s="34">
        <v>10</v>
      </c>
      <c r="H277" s="35">
        <f t="shared" si="62"/>
        <v>100</v>
      </c>
      <c r="I277" s="33">
        <v>11393.582</v>
      </c>
      <c r="J277" s="33">
        <v>23889.441999999999</v>
      </c>
      <c r="K277" s="33">
        <v>23755.882000000001</v>
      </c>
      <c r="L277" s="33">
        <v>1631.7650000000001</v>
      </c>
      <c r="M277" s="33">
        <v>-1903.9490000000001</v>
      </c>
      <c r="N277" s="35">
        <f t="shared" si="63"/>
        <v>-154.10699999999997</v>
      </c>
      <c r="O277" s="33">
        <v>-1749.8420000000001</v>
      </c>
      <c r="P277" s="36">
        <v>0</v>
      </c>
      <c r="Q277" s="36">
        <v>0</v>
      </c>
      <c r="R277" s="37">
        <f t="shared" si="64"/>
        <v>0</v>
      </c>
      <c r="S277" s="36"/>
      <c r="T277" s="38">
        <v>2746</v>
      </c>
    </row>
    <row r="278" spans="2:20" ht="15.6" x14ac:dyDescent="0.3">
      <c r="B278" s="54">
        <f t="shared" si="65"/>
        <v>9</v>
      </c>
      <c r="C278" s="54" t="s">
        <v>434</v>
      </c>
      <c r="D278" s="31" t="s">
        <v>435</v>
      </c>
      <c r="E278" s="32">
        <v>45473</v>
      </c>
      <c r="F278" s="33">
        <v>100</v>
      </c>
      <c r="G278" s="34">
        <v>10</v>
      </c>
      <c r="H278" s="35">
        <f t="shared" si="62"/>
        <v>10</v>
      </c>
      <c r="I278" s="33">
        <v>12484.765867</v>
      </c>
      <c r="J278" s="33">
        <v>31690.027899000001</v>
      </c>
      <c r="K278" s="33">
        <v>45029.600571000003</v>
      </c>
      <c r="L278" s="33">
        <v>1608.0422140000001</v>
      </c>
      <c r="M278" s="33">
        <v>-1520.615558</v>
      </c>
      <c r="N278" s="35">
        <f t="shared" si="63"/>
        <v>-136.84416399999986</v>
      </c>
      <c r="O278" s="33">
        <v>-1383.7713940000001</v>
      </c>
      <c r="P278" s="36">
        <v>0</v>
      </c>
      <c r="Q278" s="36">
        <v>0</v>
      </c>
      <c r="R278" s="37">
        <f t="shared" si="64"/>
        <v>0</v>
      </c>
      <c r="S278" s="36"/>
      <c r="T278" s="38">
        <v>803</v>
      </c>
    </row>
    <row r="279" spans="2:20" ht="15.6" x14ac:dyDescent="0.3">
      <c r="B279" s="54">
        <f t="shared" si="65"/>
        <v>10</v>
      </c>
      <c r="C279" s="54" t="s">
        <v>436</v>
      </c>
      <c r="D279" s="31" t="s">
        <v>437</v>
      </c>
      <c r="E279" s="32">
        <v>45473</v>
      </c>
      <c r="F279" s="33">
        <v>3994.0902599999999</v>
      </c>
      <c r="G279" s="34">
        <v>10</v>
      </c>
      <c r="H279" s="35">
        <f t="shared" si="62"/>
        <v>399.40902599999998</v>
      </c>
      <c r="I279" s="33">
        <v>33657.14</v>
      </c>
      <c r="J279" s="33">
        <v>80883.929000000004</v>
      </c>
      <c r="K279" s="33">
        <v>69757.600999999995</v>
      </c>
      <c r="L279" s="33">
        <v>3835.6320000000001</v>
      </c>
      <c r="M279" s="33">
        <v>601.024</v>
      </c>
      <c r="N279" s="35">
        <f t="shared" si="63"/>
        <v>28.682999999999993</v>
      </c>
      <c r="O279" s="33">
        <v>572.34100000000001</v>
      </c>
      <c r="P279" s="36">
        <v>0</v>
      </c>
      <c r="Q279" s="36">
        <v>0</v>
      </c>
      <c r="R279" s="37">
        <f t="shared" si="64"/>
        <v>0</v>
      </c>
      <c r="S279" s="36"/>
      <c r="T279" s="38">
        <v>1084</v>
      </c>
    </row>
    <row r="280" spans="2:20" ht="15.6" x14ac:dyDescent="0.3">
      <c r="B280" s="54">
        <f t="shared" si="65"/>
        <v>11</v>
      </c>
      <c r="C280" s="54" t="s">
        <v>438</v>
      </c>
      <c r="D280" s="43" t="s">
        <v>439</v>
      </c>
      <c r="E280" s="32">
        <v>45473</v>
      </c>
      <c r="F280" s="33">
        <v>300</v>
      </c>
      <c r="G280" s="34">
        <v>10</v>
      </c>
      <c r="H280" s="35">
        <f t="shared" si="62"/>
        <v>30</v>
      </c>
      <c r="I280" s="33">
        <v>44321.389997999999</v>
      </c>
      <c r="J280" s="33">
        <v>99781.337173000007</v>
      </c>
      <c r="K280" s="33">
        <v>97160.875497999994</v>
      </c>
      <c r="L280" s="33">
        <v>8337.4278479999994</v>
      </c>
      <c r="M280" s="33">
        <v>1495.310074</v>
      </c>
      <c r="N280" s="35">
        <f t="shared" si="63"/>
        <v>-289.97748100000013</v>
      </c>
      <c r="O280" s="33">
        <v>1785.2875550000001</v>
      </c>
      <c r="P280" s="36">
        <v>0</v>
      </c>
      <c r="Q280" s="36">
        <v>0</v>
      </c>
      <c r="R280" s="37">
        <f t="shared" si="64"/>
        <v>0</v>
      </c>
      <c r="S280" s="36"/>
      <c r="T280" s="38">
        <v>1400</v>
      </c>
    </row>
    <row r="281" spans="2:20" ht="15.6" x14ac:dyDescent="0.3">
      <c r="B281" s="54">
        <f t="shared" si="65"/>
        <v>12</v>
      </c>
      <c r="C281" s="54" t="s">
        <v>440</v>
      </c>
      <c r="D281" s="31" t="s">
        <v>441</v>
      </c>
      <c r="E281" s="32">
        <v>45473</v>
      </c>
      <c r="F281" s="33">
        <v>7400.5940000000001</v>
      </c>
      <c r="G281" s="34">
        <v>10</v>
      </c>
      <c r="H281" s="35">
        <f t="shared" si="62"/>
        <v>740.05939999999998</v>
      </c>
      <c r="I281" s="33">
        <v>44753.222999999998</v>
      </c>
      <c r="J281" s="33">
        <v>136488.44500000001</v>
      </c>
      <c r="K281" s="33">
        <v>143145.84400000001</v>
      </c>
      <c r="L281" s="33">
        <v>5426.4560000000001</v>
      </c>
      <c r="M281" s="33">
        <v>4493.4579999999996</v>
      </c>
      <c r="N281" s="35">
        <f t="shared" si="63"/>
        <v>-234.34400000000005</v>
      </c>
      <c r="O281" s="33">
        <v>4727.8019999999997</v>
      </c>
      <c r="P281" s="36">
        <v>0</v>
      </c>
      <c r="Q281" s="36">
        <v>0</v>
      </c>
      <c r="R281" s="37">
        <f t="shared" si="64"/>
        <v>0</v>
      </c>
      <c r="S281" s="36"/>
      <c r="T281" s="38">
        <v>7693</v>
      </c>
    </row>
    <row r="282" spans="2:20" ht="15.6" x14ac:dyDescent="0.3">
      <c r="B282" s="54">
        <f t="shared" si="65"/>
        <v>13</v>
      </c>
      <c r="C282" s="54" t="s">
        <v>442</v>
      </c>
      <c r="D282" s="31" t="s">
        <v>443</v>
      </c>
      <c r="E282" s="32">
        <v>45473</v>
      </c>
      <c r="F282" s="33">
        <v>326.35599999999999</v>
      </c>
      <c r="G282" s="34">
        <v>10</v>
      </c>
      <c r="H282" s="35">
        <f t="shared" si="62"/>
        <v>32.635599999999997</v>
      </c>
      <c r="I282" s="33">
        <v>4485.3443530000004</v>
      </c>
      <c r="J282" s="33">
        <v>4975.9851699999999</v>
      </c>
      <c r="K282" s="33">
        <v>4422.5887659999999</v>
      </c>
      <c r="L282" s="33">
        <v>97.802206999999996</v>
      </c>
      <c r="M282" s="33">
        <v>-687.002656</v>
      </c>
      <c r="N282" s="35">
        <f t="shared" si="63"/>
        <v>-20.690817000000038</v>
      </c>
      <c r="O282" s="33">
        <v>-666.31183899999996</v>
      </c>
      <c r="P282" s="36">
        <v>0</v>
      </c>
      <c r="Q282" s="36">
        <v>0</v>
      </c>
      <c r="R282" s="37">
        <f t="shared" si="64"/>
        <v>0</v>
      </c>
      <c r="S282" s="36"/>
      <c r="T282" s="38">
        <v>4632</v>
      </c>
    </row>
    <row r="283" spans="2:20" ht="15.6" x14ac:dyDescent="0.3">
      <c r="B283" s="54">
        <f t="shared" si="65"/>
        <v>14</v>
      </c>
      <c r="C283" s="54" t="s">
        <v>444</v>
      </c>
      <c r="D283" s="43" t="s">
        <v>445</v>
      </c>
      <c r="E283" s="32">
        <v>45473</v>
      </c>
      <c r="F283" s="33">
        <v>129.96304000000001</v>
      </c>
      <c r="G283" s="34">
        <v>10</v>
      </c>
      <c r="H283" s="35">
        <f t="shared" si="62"/>
        <v>12.996304</v>
      </c>
      <c r="I283" s="33">
        <v>284.15304800000001</v>
      </c>
      <c r="J283" s="33">
        <v>560.367257</v>
      </c>
      <c r="K283" s="33">
        <v>521.605594</v>
      </c>
      <c r="L283" s="33">
        <v>34.937551999999997</v>
      </c>
      <c r="M283" s="33">
        <v>-47.355614000000003</v>
      </c>
      <c r="N283" s="35">
        <f t="shared" si="63"/>
        <v>0</v>
      </c>
      <c r="O283" s="33">
        <v>-47.355614000000003</v>
      </c>
      <c r="P283" s="36">
        <v>0</v>
      </c>
      <c r="Q283" s="36">
        <v>0</v>
      </c>
      <c r="R283" s="37">
        <f t="shared" si="64"/>
        <v>0</v>
      </c>
      <c r="S283" s="36"/>
      <c r="T283" s="38">
        <v>871</v>
      </c>
    </row>
    <row r="284" spans="2:20" ht="15.6" x14ac:dyDescent="0.3">
      <c r="B284" s="54">
        <f t="shared" si="65"/>
        <v>15</v>
      </c>
      <c r="C284" s="54" t="s">
        <v>446</v>
      </c>
      <c r="D284" s="31" t="s">
        <v>447</v>
      </c>
      <c r="E284" s="32">
        <v>45473</v>
      </c>
      <c r="F284" s="33">
        <v>12</v>
      </c>
      <c r="G284" s="34">
        <v>10</v>
      </c>
      <c r="H284" s="35">
        <f t="shared" si="62"/>
        <v>1.2</v>
      </c>
      <c r="I284" s="33">
        <v>590.81719799999996</v>
      </c>
      <c r="J284" s="33">
        <v>605.31284700000003</v>
      </c>
      <c r="K284" s="33">
        <v>33.833463000000002</v>
      </c>
      <c r="L284" s="33">
        <v>1.3299E-2</v>
      </c>
      <c r="M284" s="33">
        <v>43.420157000000003</v>
      </c>
      <c r="N284" s="35">
        <f t="shared" si="63"/>
        <v>7.4386040000000051</v>
      </c>
      <c r="O284" s="33">
        <v>35.981552999999998</v>
      </c>
      <c r="P284" s="36">
        <v>25</v>
      </c>
      <c r="Q284" s="36">
        <v>0</v>
      </c>
      <c r="R284" s="37">
        <f t="shared" si="64"/>
        <v>25</v>
      </c>
      <c r="S284" s="36"/>
      <c r="T284" s="38">
        <v>1025</v>
      </c>
    </row>
    <row r="285" spans="2:20" ht="15.6" x14ac:dyDescent="0.3">
      <c r="B285" s="54">
        <f t="shared" si="65"/>
        <v>16</v>
      </c>
      <c r="C285" s="54" t="s">
        <v>448</v>
      </c>
      <c r="D285" s="31" t="s">
        <v>449</v>
      </c>
      <c r="E285" s="32">
        <v>45473</v>
      </c>
      <c r="F285" s="33">
        <v>14017.09468</v>
      </c>
      <c r="G285" s="34">
        <v>10</v>
      </c>
      <c r="H285" s="35">
        <f t="shared" si="62"/>
        <v>1401.709468</v>
      </c>
      <c r="I285" s="33">
        <v>53532.474999999999</v>
      </c>
      <c r="J285" s="33">
        <v>151674.177</v>
      </c>
      <c r="K285" s="33">
        <v>156128.86499999999</v>
      </c>
      <c r="L285" s="33">
        <v>10125.154</v>
      </c>
      <c r="M285" s="33">
        <v>15761.138000000001</v>
      </c>
      <c r="N285" s="35">
        <f t="shared" si="63"/>
        <v>-10.128999999998996</v>
      </c>
      <c r="O285" s="33">
        <v>15771.267</v>
      </c>
      <c r="P285" s="36">
        <f>20+25</f>
        <v>45</v>
      </c>
      <c r="Q285" s="36">
        <v>0</v>
      </c>
      <c r="R285" s="37">
        <f t="shared" si="64"/>
        <v>45</v>
      </c>
      <c r="S285" s="36"/>
      <c r="T285" s="38">
        <v>7268</v>
      </c>
    </row>
    <row r="286" spans="2:20" ht="15.6" x14ac:dyDescent="0.3">
      <c r="B286" s="54">
        <f t="shared" si="65"/>
        <v>17</v>
      </c>
      <c r="C286" s="54" t="s">
        <v>450</v>
      </c>
      <c r="D286" s="31" t="s">
        <v>451</v>
      </c>
      <c r="E286" s="32">
        <v>45473</v>
      </c>
      <c r="F286" s="33">
        <v>96.75</v>
      </c>
      <c r="G286" s="34">
        <v>10</v>
      </c>
      <c r="H286" s="35">
        <f t="shared" si="62"/>
        <v>9.6750000000000007</v>
      </c>
      <c r="I286" s="33">
        <v>167.31186099999999</v>
      </c>
      <c r="J286" s="33">
        <v>482.60880700000001</v>
      </c>
      <c r="K286" s="33">
        <v>850.50502900000004</v>
      </c>
      <c r="L286" s="33">
        <v>28.363703999999998</v>
      </c>
      <c r="M286" s="33">
        <v>25.506509999999999</v>
      </c>
      <c r="N286" s="35">
        <f t="shared" si="63"/>
        <v>14.462969999999999</v>
      </c>
      <c r="O286" s="33">
        <v>11.04354</v>
      </c>
      <c r="P286" s="36">
        <v>7.5</v>
      </c>
      <c r="Q286" s="36">
        <v>0</v>
      </c>
      <c r="R286" s="37">
        <f t="shared" si="64"/>
        <v>7.5</v>
      </c>
      <c r="S286" s="36"/>
      <c r="T286" s="38">
        <v>1238</v>
      </c>
    </row>
    <row r="287" spans="2:20" ht="15.6" x14ac:dyDescent="0.3">
      <c r="B287" s="54">
        <f t="shared" si="65"/>
        <v>18</v>
      </c>
      <c r="C287" s="54" t="s">
        <v>452</v>
      </c>
      <c r="D287" s="31" t="s">
        <v>453</v>
      </c>
      <c r="E287" s="32">
        <v>45473</v>
      </c>
      <c r="F287" s="33">
        <v>12.275</v>
      </c>
      <c r="G287" s="34">
        <v>10</v>
      </c>
      <c r="H287" s="35">
        <f t="shared" si="62"/>
        <v>1.2275</v>
      </c>
      <c r="I287" s="33">
        <v>1256.801091</v>
      </c>
      <c r="J287" s="33">
        <v>1309.8415170000001</v>
      </c>
      <c r="K287" s="33">
        <v>18.354500000000002</v>
      </c>
      <c r="L287" s="33">
        <v>8.8800000000000007E-3</v>
      </c>
      <c r="M287" s="33">
        <v>-5.7544630000000003</v>
      </c>
      <c r="N287" s="35">
        <f t="shared" si="63"/>
        <v>-1.0919940000000006</v>
      </c>
      <c r="O287" s="33">
        <v>-4.6624689999999998</v>
      </c>
      <c r="P287" s="36">
        <v>0</v>
      </c>
      <c r="Q287" s="36">
        <v>0</v>
      </c>
      <c r="R287" s="37">
        <f t="shared" si="64"/>
        <v>0</v>
      </c>
      <c r="S287" s="36"/>
      <c r="T287" s="38">
        <v>522</v>
      </c>
    </row>
    <row r="288" spans="2:20" ht="15.6" x14ac:dyDescent="0.3">
      <c r="B288" s="54">
        <f t="shared" si="65"/>
        <v>19</v>
      </c>
      <c r="C288" s="54" t="s">
        <v>454</v>
      </c>
      <c r="D288" s="31" t="s">
        <v>455</v>
      </c>
      <c r="E288" s="32">
        <v>45473</v>
      </c>
      <c r="F288" s="33">
        <v>509.11011000000002</v>
      </c>
      <c r="G288" s="34">
        <v>10</v>
      </c>
      <c r="H288" s="35">
        <f t="shared" si="62"/>
        <v>50.911011000000002</v>
      </c>
      <c r="I288" s="33">
        <v>9952.0426790000001</v>
      </c>
      <c r="J288" s="33">
        <v>24868.398262999999</v>
      </c>
      <c r="K288" s="33">
        <v>29854.242225000002</v>
      </c>
      <c r="L288" s="33">
        <v>1718.887557</v>
      </c>
      <c r="M288" s="33">
        <v>-15.599491</v>
      </c>
      <c r="N288" s="35">
        <f t="shared" si="63"/>
        <v>4.023257000000001</v>
      </c>
      <c r="O288" s="33">
        <v>-19.622748000000001</v>
      </c>
      <c r="P288" s="36">
        <v>0</v>
      </c>
      <c r="Q288" s="36">
        <v>0</v>
      </c>
      <c r="R288" s="37">
        <f t="shared" si="64"/>
        <v>0</v>
      </c>
      <c r="S288" s="36"/>
      <c r="T288" s="38">
        <v>1354</v>
      </c>
    </row>
    <row r="289" spans="2:20" ht="15.6" x14ac:dyDescent="0.3">
      <c r="B289" s="54">
        <f t="shared" si="65"/>
        <v>20</v>
      </c>
      <c r="C289" s="54" t="s">
        <v>456</v>
      </c>
      <c r="D289" s="31" t="s">
        <v>457</v>
      </c>
      <c r="E289" s="32">
        <v>45473</v>
      </c>
      <c r="F289" s="33">
        <v>303.02542999999997</v>
      </c>
      <c r="G289" s="34">
        <v>10</v>
      </c>
      <c r="H289" s="35">
        <f t="shared" si="62"/>
        <v>30.302542999999996</v>
      </c>
      <c r="I289" s="33">
        <v>1031.57835</v>
      </c>
      <c r="J289" s="33">
        <v>1087.0744609999999</v>
      </c>
      <c r="K289" s="33">
        <v>85.654535999999993</v>
      </c>
      <c r="L289" s="33">
        <v>1.4017E-2</v>
      </c>
      <c r="M289" s="33">
        <v>73.799051000000006</v>
      </c>
      <c r="N289" s="35">
        <f t="shared" si="63"/>
        <v>35.078946000000009</v>
      </c>
      <c r="O289" s="33">
        <v>38.720104999999997</v>
      </c>
      <c r="P289" s="36">
        <v>0</v>
      </c>
      <c r="Q289" s="36">
        <v>0</v>
      </c>
      <c r="R289" s="37">
        <f t="shared" si="64"/>
        <v>0</v>
      </c>
      <c r="S289" s="36"/>
      <c r="T289" s="38">
        <v>2048</v>
      </c>
    </row>
    <row r="290" spans="2:20" ht="15.6" x14ac:dyDescent="0.3">
      <c r="B290" s="54">
        <f t="shared" si="65"/>
        <v>21</v>
      </c>
      <c r="C290" s="54" t="s">
        <v>458</v>
      </c>
      <c r="D290" s="31" t="s">
        <v>459</v>
      </c>
      <c r="E290" s="32">
        <v>45473</v>
      </c>
      <c r="F290" s="33">
        <v>2692.9940000000001</v>
      </c>
      <c r="G290" s="34">
        <v>10</v>
      </c>
      <c r="H290" s="35">
        <f t="shared" si="62"/>
        <v>269.29939999999999</v>
      </c>
      <c r="I290" s="33">
        <v>29232.556</v>
      </c>
      <c r="J290" s="33">
        <v>51853.603000000003</v>
      </c>
      <c r="K290" s="33">
        <v>58174.951999999997</v>
      </c>
      <c r="L290" s="33">
        <v>3359.3449999999998</v>
      </c>
      <c r="M290" s="33">
        <v>2990.6260000000002</v>
      </c>
      <c r="N290" s="35">
        <f t="shared" si="63"/>
        <v>791.4640000000004</v>
      </c>
      <c r="O290" s="33">
        <v>2199.1619999999998</v>
      </c>
      <c r="P290" s="36">
        <v>0</v>
      </c>
      <c r="Q290" s="36">
        <v>0</v>
      </c>
      <c r="R290" s="37">
        <f t="shared" si="64"/>
        <v>0</v>
      </c>
      <c r="S290" s="36"/>
      <c r="T290" s="38">
        <v>4438</v>
      </c>
    </row>
    <row r="291" spans="2:20" ht="15.6" x14ac:dyDescent="0.3">
      <c r="B291" s="54">
        <f t="shared" si="65"/>
        <v>22</v>
      </c>
      <c r="C291" s="54" t="s">
        <v>460</v>
      </c>
      <c r="D291" s="31" t="s">
        <v>461</v>
      </c>
      <c r="E291" s="32">
        <v>45473</v>
      </c>
      <c r="F291" s="33">
        <v>300</v>
      </c>
      <c r="G291" s="34">
        <v>10</v>
      </c>
      <c r="H291" s="35">
        <f t="shared" si="62"/>
        <v>30</v>
      </c>
      <c r="I291" s="33">
        <v>17405.107996999999</v>
      </c>
      <c r="J291" s="33">
        <v>55033.138099999996</v>
      </c>
      <c r="K291" s="33">
        <v>66583.767005000002</v>
      </c>
      <c r="L291" s="33">
        <v>5631.3812349999998</v>
      </c>
      <c r="M291" s="33">
        <v>475.34718500000002</v>
      </c>
      <c r="N291" s="35">
        <f t="shared" si="63"/>
        <v>225.81059400000004</v>
      </c>
      <c r="O291" s="33">
        <v>249.53659099999999</v>
      </c>
      <c r="P291" s="36">
        <v>0</v>
      </c>
      <c r="Q291" s="36">
        <v>0</v>
      </c>
      <c r="R291" s="37">
        <f t="shared" si="64"/>
        <v>0</v>
      </c>
      <c r="S291" s="36"/>
      <c r="T291" s="38">
        <v>131</v>
      </c>
    </row>
    <row r="292" spans="2:20" ht="15.6" x14ac:dyDescent="0.3">
      <c r="B292" s="54">
        <f t="shared" si="65"/>
        <v>23</v>
      </c>
      <c r="C292" s="54" t="s">
        <v>462</v>
      </c>
      <c r="D292" s="31" t="s">
        <v>463</v>
      </c>
      <c r="E292" s="32">
        <v>45473</v>
      </c>
      <c r="F292" s="33">
        <v>1375</v>
      </c>
      <c r="G292" s="34">
        <v>10</v>
      </c>
      <c r="H292" s="35">
        <f t="shared" si="62"/>
        <v>137.5</v>
      </c>
      <c r="I292" s="33">
        <v>16681.613000000001</v>
      </c>
      <c r="J292" s="33">
        <v>55151.741999999998</v>
      </c>
      <c r="K292" s="33">
        <v>58676.925999999999</v>
      </c>
      <c r="L292" s="33">
        <v>4999.5010000000002</v>
      </c>
      <c r="M292" s="33">
        <v>-394.68200000000002</v>
      </c>
      <c r="N292" s="35">
        <f t="shared" si="63"/>
        <v>75.347999999999956</v>
      </c>
      <c r="O292" s="33">
        <v>-470.03</v>
      </c>
      <c r="P292" s="36">
        <v>0</v>
      </c>
      <c r="Q292" s="36">
        <v>0</v>
      </c>
      <c r="R292" s="37">
        <f t="shared" si="64"/>
        <v>0</v>
      </c>
      <c r="S292" s="36"/>
      <c r="T292" s="38">
        <v>1296</v>
      </c>
    </row>
    <row r="293" spans="2:20" ht="15.6" x14ac:dyDescent="0.3">
      <c r="B293" s="54">
        <f t="shared" si="65"/>
        <v>24</v>
      </c>
      <c r="C293" s="54" t="s">
        <v>464</v>
      </c>
      <c r="D293" s="31" t="s">
        <v>465</v>
      </c>
      <c r="E293" s="32">
        <v>45473</v>
      </c>
      <c r="F293" s="33">
        <v>2401.19029</v>
      </c>
      <c r="G293" s="34">
        <v>10</v>
      </c>
      <c r="H293" s="35">
        <f t="shared" si="62"/>
        <v>240.11902900000001</v>
      </c>
      <c r="I293" s="33">
        <v>21399.794888</v>
      </c>
      <c r="J293" s="33">
        <v>68803.346174999999</v>
      </c>
      <c r="K293" s="33">
        <v>88879.551818000007</v>
      </c>
      <c r="L293" s="33">
        <v>7753.9841919999999</v>
      </c>
      <c r="M293" s="33">
        <v>728.551962</v>
      </c>
      <c r="N293" s="35">
        <f t="shared" si="63"/>
        <v>36.880464999999958</v>
      </c>
      <c r="O293" s="33">
        <v>691.67149700000004</v>
      </c>
      <c r="P293" s="36">
        <v>0</v>
      </c>
      <c r="Q293" s="36">
        <v>0</v>
      </c>
      <c r="R293" s="37">
        <f t="shared" si="64"/>
        <v>0</v>
      </c>
      <c r="S293" s="36"/>
      <c r="T293" s="38">
        <v>7776</v>
      </c>
    </row>
    <row r="294" spans="2:20" ht="15.6" x14ac:dyDescent="0.3">
      <c r="B294" s="54">
        <f t="shared" si="65"/>
        <v>25</v>
      </c>
      <c r="C294" s="54" t="s">
        <v>466</v>
      </c>
      <c r="D294" s="31" t="s">
        <v>467</v>
      </c>
      <c r="E294" s="32">
        <v>45473</v>
      </c>
      <c r="F294" s="33">
        <v>3515.9989999999998</v>
      </c>
      <c r="G294" s="34">
        <v>10</v>
      </c>
      <c r="H294" s="35">
        <f t="shared" si="62"/>
        <v>351.59989999999999</v>
      </c>
      <c r="I294" s="33">
        <v>114810.01300000001</v>
      </c>
      <c r="J294" s="33">
        <v>216839.44500000001</v>
      </c>
      <c r="K294" s="33">
        <v>160256.55499999999</v>
      </c>
      <c r="L294" s="33">
        <v>10442.392</v>
      </c>
      <c r="M294" s="33">
        <v>8440.6939999999995</v>
      </c>
      <c r="N294" s="35">
        <f t="shared" si="63"/>
        <v>2071.8409999999994</v>
      </c>
      <c r="O294" s="33">
        <v>6368.8530000000001</v>
      </c>
      <c r="P294" s="36">
        <v>30</v>
      </c>
      <c r="Q294" s="36">
        <v>0</v>
      </c>
      <c r="R294" s="37">
        <f t="shared" si="64"/>
        <v>30</v>
      </c>
      <c r="S294" s="36"/>
      <c r="T294" s="38">
        <v>13209</v>
      </c>
    </row>
    <row r="295" spans="2:20" ht="15.6" x14ac:dyDescent="0.3">
      <c r="B295" s="54">
        <f t="shared" si="65"/>
        <v>26</v>
      </c>
      <c r="C295" s="54" t="s">
        <v>468</v>
      </c>
      <c r="D295" s="31" t="s">
        <v>469</v>
      </c>
      <c r="E295" s="32">
        <v>45473</v>
      </c>
      <c r="F295" s="33">
        <v>492.92599999999999</v>
      </c>
      <c r="G295" s="34">
        <v>10</v>
      </c>
      <c r="H295" s="35">
        <f t="shared" si="62"/>
        <v>49.2926</v>
      </c>
      <c r="I295" s="33">
        <v>1002.85685</v>
      </c>
      <c r="J295" s="33">
        <v>3799.400549</v>
      </c>
      <c r="K295" s="33">
        <v>1470.172094</v>
      </c>
      <c r="L295" s="33">
        <v>2.676936</v>
      </c>
      <c r="M295" s="33">
        <v>141.027884</v>
      </c>
      <c r="N295" s="35">
        <f t="shared" si="63"/>
        <v>-71.052008000000001</v>
      </c>
      <c r="O295" s="33">
        <v>212.079892</v>
      </c>
      <c r="P295" s="36">
        <v>0</v>
      </c>
      <c r="Q295" s="36">
        <v>0</v>
      </c>
      <c r="R295" s="37">
        <f t="shared" si="64"/>
        <v>0</v>
      </c>
      <c r="S295" s="36"/>
      <c r="T295" s="38">
        <v>760</v>
      </c>
    </row>
    <row r="296" spans="2:20" ht="15.6" x14ac:dyDescent="0.3">
      <c r="B296" s="54">
        <f t="shared" si="65"/>
        <v>27</v>
      </c>
      <c r="C296" s="54" t="s">
        <v>470</v>
      </c>
      <c r="D296" s="31" t="s">
        <v>471</v>
      </c>
      <c r="E296" s="32">
        <v>45473</v>
      </c>
      <c r="F296" s="33">
        <v>308.10937000000001</v>
      </c>
      <c r="G296" s="34">
        <v>10</v>
      </c>
      <c r="H296" s="35">
        <f t="shared" si="62"/>
        <v>30.810937000000003</v>
      </c>
      <c r="I296" s="33">
        <v>10084.812846000001</v>
      </c>
      <c r="J296" s="33">
        <v>34864.189283</v>
      </c>
      <c r="K296" s="33">
        <v>41461.459104000001</v>
      </c>
      <c r="L296" s="33">
        <v>3892.5256290000002</v>
      </c>
      <c r="M296" s="33">
        <v>-432.893643</v>
      </c>
      <c r="N296" s="35">
        <f t="shared" si="63"/>
        <v>-552.49545000000001</v>
      </c>
      <c r="O296" s="33">
        <v>119.60180699999999</v>
      </c>
      <c r="P296" s="36">
        <v>0</v>
      </c>
      <c r="Q296" s="36">
        <v>0</v>
      </c>
      <c r="R296" s="37">
        <f t="shared" si="64"/>
        <v>0</v>
      </c>
      <c r="S296" s="36"/>
      <c r="T296" s="38">
        <v>1505</v>
      </c>
    </row>
    <row r="297" spans="2:20" ht="15.6" x14ac:dyDescent="0.3">
      <c r="B297" s="54">
        <f t="shared" si="65"/>
        <v>28</v>
      </c>
      <c r="C297" s="54" t="s">
        <v>472</v>
      </c>
      <c r="D297" s="31" t="s">
        <v>473</v>
      </c>
      <c r="E297" s="32">
        <v>45473</v>
      </c>
      <c r="F297" s="33">
        <v>216.89791</v>
      </c>
      <c r="G297" s="34">
        <v>10</v>
      </c>
      <c r="H297" s="35">
        <f t="shared" si="62"/>
        <v>21.689791</v>
      </c>
      <c r="I297" s="33">
        <v>36916.853282999997</v>
      </c>
      <c r="J297" s="33">
        <v>83015.927859000003</v>
      </c>
      <c r="K297" s="33">
        <v>82399.261522999994</v>
      </c>
      <c r="L297" s="33">
        <v>6395.0382799999998</v>
      </c>
      <c r="M297" s="33">
        <v>5149.371298</v>
      </c>
      <c r="N297" s="35">
        <f t="shared" si="63"/>
        <v>-24.365409</v>
      </c>
      <c r="O297" s="33">
        <v>5173.736707</v>
      </c>
      <c r="P297" s="36">
        <v>100</v>
      </c>
      <c r="Q297" s="36">
        <v>0</v>
      </c>
      <c r="R297" s="37">
        <f t="shared" si="64"/>
        <v>100</v>
      </c>
      <c r="S297" s="36"/>
      <c r="T297" s="38">
        <v>430</v>
      </c>
    </row>
    <row r="298" spans="2:20" ht="15.6" x14ac:dyDescent="0.3">
      <c r="B298" s="54">
        <f t="shared" si="65"/>
        <v>29</v>
      </c>
      <c r="C298" s="54" t="s">
        <v>474</v>
      </c>
      <c r="D298" s="31" t="s">
        <v>475</v>
      </c>
      <c r="E298" s="32">
        <v>45473</v>
      </c>
      <c r="F298" s="33">
        <v>206.71875</v>
      </c>
      <c r="G298" s="34">
        <v>10</v>
      </c>
      <c r="H298" s="35">
        <f t="shared" si="62"/>
        <v>20.671875</v>
      </c>
      <c r="I298" s="33">
        <v>34560.083704999997</v>
      </c>
      <c r="J298" s="33">
        <v>56275.598239999999</v>
      </c>
      <c r="K298" s="33">
        <v>47420.211276000002</v>
      </c>
      <c r="L298" s="33">
        <v>2783.785104</v>
      </c>
      <c r="M298" s="33">
        <v>2992.1601919999998</v>
      </c>
      <c r="N298" s="35">
        <f t="shared" si="63"/>
        <v>-344.87154800000008</v>
      </c>
      <c r="O298" s="33">
        <v>3337.0317399999999</v>
      </c>
      <c r="P298" s="36">
        <v>100</v>
      </c>
      <c r="Q298" s="36">
        <v>0</v>
      </c>
      <c r="R298" s="37">
        <f t="shared" si="64"/>
        <v>100</v>
      </c>
      <c r="S298" s="36"/>
      <c r="T298" s="38">
        <v>625</v>
      </c>
    </row>
    <row r="299" spans="2:20" ht="15.6" x14ac:dyDescent="0.3">
      <c r="B299" s="54">
        <f t="shared" si="65"/>
        <v>30</v>
      </c>
      <c r="C299" s="54" t="s">
        <v>476</v>
      </c>
      <c r="D299" s="31" t="s">
        <v>477</v>
      </c>
      <c r="E299" s="32">
        <v>45473</v>
      </c>
      <c r="F299" s="33">
        <v>86.4</v>
      </c>
      <c r="G299" s="34">
        <v>10</v>
      </c>
      <c r="H299" s="35">
        <f t="shared" si="62"/>
        <v>8.64</v>
      </c>
      <c r="I299" s="33">
        <v>931.31799999999998</v>
      </c>
      <c r="J299" s="33">
        <v>2547.4699999999998</v>
      </c>
      <c r="K299" s="33">
        <v>6916.1850000000004</v>
      </c>
      <c r="L299" s="33">
        <v>90.503</v>
      </c>
      <c r="M299" s="33">
        <v>-28.956</v>
      </c>
      <c r="N299" s="35">
        <f t="shared" si="63"/>
        <v>4.9390000000000036</v>
      </c>
      <c r="O299" s="33">
        <v>-33.895000000000003</v>
      </c>
      <c r="P299" s="36">
        <v>0</v>
      </c>
      <c r="Q299" s="36">
        <v>0</v>
      </c>
      <c r="R299" s="37">
        <f t="shared" si="64"/>
        <v>0</v>
      </c>
      <c r="S299" s="36"/>
      <c r="T299" s="38">
        <v>956</v>
      </c>
    </row>
    <row r="300" spans="2:20" ht="15.6" x14ac:dyDescent="0.3">
      <c r="B300" s="54">
        <f t="shared" si="65"/>
        <v>31</v>
      </c>
      <c r="C300" s="54" t="s">
        <v>478</v>
      </c>
      <c r="D300" s="31" t="s">
        <v>479</v>
      </c>
      <c r="E300" s="32">
        <v>45473</v>
      </c>
      <c r="F300" s="33">
        <v>4352.8742000000002</v>
      </c>
      <c r="G300" s="34">
        <v>10</v>
      </c>
      <c r="H300" s="35">
        <f t="shared" si="62"/>
        <v>435.28742</v>
      </c>
      <c r="I300" s="33">
        <v>10266.929695999999</v>
      </c>
      <c r="J300" s="33">
        <v>16588.675639000001</v>
      </c>
      <c r="K300" s="33">
        <v>14439.261130000001</v>
      </c>
      <c r="L300" s="33">
        <v>259.44251400000002</v>
      </c>
      <c r="M300" s="33">
        <v>1538.205661</v>
      </c>
      <c r="N300" s="35">
        <f t="shared" si="63"/>
        <v>60.660392000000002</v>
      </c>
      <c r="O300" s="33">
        <v>1477.545269</v>
      </c>
      <c r="P300" s="36">
        <f>10+7.5</f>
        <v>17.5</v>
      </c>
      <c r="Q300" s="36">
        <v>0</v>
      </c>
      <c r="R300" s="37">
        <f t="shared" ref="R300" si="67">SUM(P300:Q300)</f>
        <v>17.5</v>
      </c>
      <c r="S300" s="36">
        <v>12.3</v>
      </c>
      <c r="T300" s="38">
        <v>258</v>
      </c>
    </row>
    <row r="301" spans="2:20" ht="15.6" x14ac:dyDescent="0.3">
      <c r="B301" s="54">
        <f t="shared" si="65"/>
        <v>32</v>
      </c>
      <c r="C301" s="54" t="s">
        <v>480</v>
      </c>
      <c r="D301" s="31" t="s">
        <v>481</v>
      </c>
      <c r="E301" s="32">
        <v>45473</v>
      </c>
      <c r="F301" s="33">
        <v>488.09399999999999</v>
      </c>
      <c r="G301" s="34">
        <v>10</v>
      </c>
      <c r="H301" s="35">
        <f t="shared" si="62"/>
        <v>48.809399999999997</v>
      </c>
      <c r="I301" s="33">
        <v>12135.012000000001</v>
      </c>
      <c r="J301" s="33">
        <v>22846.953000000001</v>
      </c>
      <c r="K301" s="33">
        <v>29744.29</v>
      </c>
      <c r="L301" s="33">
        <v>407.34300000000002</v>
      </c>
      <c r="M301" s="33">
        <v>1744.4269999999999</v>
      </c>
      <c r="N301" s="35">
        <f t="shared" si="63"/>
        <v>738.0089999999999</v>
      </c>
      <c r="O301" s="33">
        <v>1006.418</v>
      </c>
      <c r="P301" s="36">
        <v>50</v>
      </c>
      <c r="Q301" s="36">
        <v>0</v>
      </c>
      <c r="R301" s="37">
        <f t="shared" si="64"/>
        <v>50</v>
      </c>
      <c r="S301" s="36"/>
      <c r="T301" s="38">
        <v>715</v>
      </c>
    </row>
    <row r="302" spans="2:20" ht="15.6" x14ac:dyDescent="0.3">
      <c r="B302" s="54">
        <f t="shared" si="65"/>
        <v>33</v>
      </c>
      <c r="C302" s="54" t="s">
        <v>482</v>
      </c>
      <c r="D302" s="31" t="s">
        <v>483</v>
      </c>
      <c r="E302" s="32">
        <v>45473</v>
      </c>
      <c r="F302" s="33">
        <v>170</v>
      </c>
      <c r="G302" s="34">
        <v>10</v>
      </c>
      <c r="H302" s="35">
        <f t="shared" si="62"/>
        <v>17</v>
      </c>
      <c r="I302" s="33">
        <v>8739.7782060000009</v>
      </c>
      <c r="J302" s="33">
        <v>11934.731811</v>
      </c>
      <c r="K302" s="33">
        <v>12314.921073</v>
      </c>
      <c r="L302" s="33">
        <v>31.101932000000001</v>
      </c>
      <c r="M302" s="33">
        <v>633.97808399999997</v>
      </c>
      <c r="N302" s="35">
        <f t="shared" si="63"/>
        <v>74.476456999999982</v>
      </c>
      <c r="O302" s="33">
        <v>559.50162699999998</v>
      </c>
      <c r="P302" s="36">
        <v>80</v>
      </c>
      <c r="Q302" s="36">
        <v>0</v>
      </c>
      <c r="R302" s="37">
        <f t="shared" si="64"/>
        <v>80</v>
      </c>
      <c r="S302" s="36"/>
      <c r="T302" s="38">
        <v>1227</v>
      </c>
    </row>
    <row r="303" spans="2:20" ht="15.6" x14ac:dyDescent="0.3">
      <c r="B303" s="54">
        <f t="shared" si="65"/>
        <v>34</v>
      </c>
      <c r="C303" s="54" t="s">
        <v>484</v>
      </c>
      <c r="D303" s="31" t="s">
        <v>485</v>
      </c>
      <c r="E303" s="32">
        <v>45473</v>
      </c>
      <c r="F303" s="33">
        <v>1914.21099</v>
      </c>
      <c r="G303" s="34">
        <v>10</v>
      </c>
      <c r="H303" s="35">
        <f t="shared" si="62"/>
        <v>191.421099</v>
      </c>
      <c r="I303" s="33">
        <v>16012.145079</v>
      </c>
      <c r="J303" s="33">
        <f>15649.792334+13690.825884</f>
        <v>29340.618218</v>
      </c>
      <c r="K303" s="33">
        <v>37741.817074999999</v>
      </c>
      <c r="L303" s="33">
        <v>1484.845499</v>
      </c>
      <c r="M303" s="33">
        <v>592.26041199999997</v>
      </c>
      <c r="N303" s="35">
        <f t="shared" si="63"/>
        <v>-42.811500000000024</v>
      </c>
      <c r="O303" s="33">
        <v>635.071912</v>
      </c>
      <c r="P303" s="36">
        <v>0</v>
      </c>
      <c r="Q303" s="36">
        <v>0</v>
      </c>
      <c r="R303" s="37">
        <f t="shared" si="64"/>
        <v>0</v>
      </c>
      <c r="S303" s="36"/>
      <c r="T303" s="38">
        <v>3181</v>
      </c>
    </row>
    <row r="304" spans="2:20" ht="15.6" x14ac:dyDescent="0.3">
      <c r="B304" s="56"/>
      <c r="C304" s="56"/>
      <c r="D304" s="58"/>
      <c r="E304" s="59"/>
      <c r="F304" s="60"/>
      <c r="G304" s="40"/>
      <c r="H304" s="61"/>
      <c r="I304" s="60"/>
      <c r="J304" s="60"/>
      <c r="K304" s="60"/>
      <c r="L304" s="60"/>
      <c r="M304" s="60"/>
      <c r="N304" s="61"/>
      <c r="O304" s="60"/>
      <c r="P304" s="62"/>
      <c r="Q304" s="62"/>
      <c r="R304" s="63"/>
      <c r="S304" s="62"/>
      <c r="T304" s="64"/>
    </row>
    <row r="305" spans="2:20" ht="18" x14ac:dyDescent="0.35">
      <c r="B305" s="25"/>
      <c r="C305" s="25"/>
      <c r="D305" s="53" t="s">
        <v>1127</v>
      </c>
      <c r="E305" s="25"/>
      <c r="F305" s="25"/>
      <c r="G305" s="40"/>
      <c r="H305" s="41"/>
      <c r="I305" s="27"/>
      <c r="J305" s="27"/>
      <c r="K305" s="27"/>
      <c r="L305" s="27"/>
      <c r="M305" s="27"/>
      <c r="N305" s="42"/>
      <c r="O305" s="27"/>
      <c r="P305" s="27"/>
      <c r="Q305" s="27"/>
      <c r="R305" s="42"/>
      <c r="S305" s="27"/>
      <c r="T305" s="27"/>
    </row>
    <row r="306" spans="2:20" ht="15.6" x14ac:dyDescent="0.3">
      <c r="B306" s="54">
        <v>1</v>
      </c>
      <c r="C306" s="54" t="s">
        <v>486</v>
      </c>
      <c r="D306" s="31" t="s">
        <v>487</v>
      </c>
      <c r="E306" s="32">
        <v>45473</v>
      </c>
      <c r="F306" s="33">
        <v>104.5789</v>
      </c>
      <c r="G306" s="34">
        <v>10</v>
      </c>
      <c r="H306" s="35">
        <f>+F306/G306</f>
        <v>10.457890000000001</v>
      </c>
      <c r="I306" s="33">
        <v>-74.013863000000001</v>
      </c>
      <c r="J306" s="33">
        <v>983.22975199999996</v>
      </c>
      <c r="K306" s="33">
        <v>358.27791000000002</v>
      </c>
      <c r="L306" s="33">
        <v>6.7808770000000003</v>
      </c>
      <c r="M306" s="33">
        <v>-316.37025199999999</v>
      </c>
      <c r="N306" s="35">
        <f>+M306-O306</f>
        <v>20.440911000000028</v>
      </c>
      <c r="O306" s="33">
        <v>-336.81116300000002</v>
      </c>
      <c r="P306" s="36">
        <v>0</v>
      </c>
      <c r="Q306" s="36">
        <v>0</v>
      </c>
      <c r="R306" s="37">
        <f>SUM(P306:Q306)</f>
        <v>0</v>
      </c>
      <c r="S306" s="36"/>
      <c r="T306" s="38">
        <v>622</v>
      </c>
    </row>
    <row r="307" spans="2:20" ht="15.6" x14ac:dyDescent="0.3">
      <c r="B307" s="54">
        <f>+B306+1</f>
        <v>2</v>
      </c>
      <c r="C307" s="54" t="s">
        <v>488</v>
      </c>
      <c r="D307" s="31" t="s">
        <v>489</v>
      </c>
      <c r="E307" s="32">
        <v>45473</v>
      </c>
      <c r="F307" s="33">
        <v>20</v>
      </c>
      <c r="G307" s="34">
        <v>10</v>
      </c>
      <c r="H307" s="35">
        <f t="shared" ref="H307:H321" si="68">+F307/G307</f>
        <v>2</v>
      </c>
      <c r="I307" s="33">
        <v>566.606224</v>
      </c>
      <c r="J307" s="33">
        <v>598.65000499999996</v>
      </c>
      <c r="K307" s="33">
        <v>0</v>
      </c>
      <c r="L307" s="33">
        <v>6.6100000000000002E-4</v>
      </c>
      <c r="M307" s="33">
        <v>-19.904921999999999</v>
      </c>
      <c r="N307" s="35">
        <f t="shared" ref="N307:N321" si="69">+M307-O307</f>
        <v>0</v>
      </c>
      <c r="O307" s="33">
        <v>-19.904921999999999</v>
      </c>
      <c r="P307" s="36">
        <v>0</v>
      </c>
      <c r="Q307" s="36">
        <v>0</v>
      </c>
      <c r="R307" s="37">
        <f t="shared" ref="R307:R321" si="70">SUM(P307:Q307)</f>
        <v>0</v>
      </c>
      <c r="S307" s="36"/>
      <c r="T307" s="38">
        <v>132</v>
      </c>
    </row>
    <row r="308" spans="2:20" ht="15.6" x14ac:dyDescent="0.3">
      <c r="B308" s="54">
        <f t="shared" ref="B308:B321" si="71">+B307+1</f>
        <v>3</v>
      </c>
      <c r="C308" s="54" t="s">
        <v>490</v>
      </c>
      <c r="D308" s="31" t="s">
        <v>491</v>
      </c>
      <c r="E308" s="32">
        <v>45473</v>
      </c>
      <c r="F308" s="33"/>
      <c r="G308" s="34">
        <v>10</v>
      </c>
      <c r="H308" s="35">
        <f t="shared" si="68"/>
        <v>0</v>
      </c>
      <c r="I308" s="33"/>
      <c r="J308" s="33"/>
      <c r="K308" s="33"/>
      <c r="L308" s="33"/>
      <c r="M308" s="33"/>
      <c r="N308" s="35">
        <f t="shared" si="69"/>
        <v>0</v>
      </c>
      <c r="O308" s="33"/>
      <c r="P308" s="36"/>
      <c r="Q308" s="36"/>
      <c r="R308" s="37">
        <f t="shared" si="70"/>
        <v>0</v>
      </c>
      <c r="S308" s="36"/>
      <c r="T308" s="38"/>
    </row>
    <row r="309" spans="2:20" ht="15.6" x14ac:dyDescent="0.3">
      <c r="B309" s="54">
        <f t="shared" si="71"/>
        <v>4</v>
      </c>
      <c r="C309" s="54" t="s">
        <v>492</v>
      </c>
      <c r="D309" s="31" t="s">
        <v>493</v>
      </c>
      <c r="E309" s="32">
        <v>45473</v>
      </c>
      <c r="F309" s="33">
        <v>132.71600000000001</v>
      </c>
      <c r="G309" s="34">
        <v>10</v>
      </c>
      <c r="H309" s="35">
        <f t="shared" si="68"/>
        <v>13.271600000000001</v>
      </c>
      <c r="I309" s="33">
        <v>373.82970499999999</v>
      </c>
      <c r="J309" s="33">
        <v>730.31949499999996</v>
      </c>
      <c r="K309" s="33">
        <v>771.55020200000001</v>
      </c>
      <c r="L309" s="33">
        <v>1.213E-2</v>
      </c>
      <c r="M309" s="33">
        <v>-24.572482000000001</v>
      </c>
      <c r="N309" s="35">
        <f t="shared" si="69"/>
        <v>1.6718329999999995</v>
      </c>
      <c r="O309" s="33">
        <v>-26.244315</v>
      </c>
      <c r="P309" s="36">
        <v>0</v>
      </c>
      <c r="Q309" s="36">
        <v>0</v>
      </c>
      <c r="R309" s="37">
        <f t="shared" si="70"/>
        <v>0</v>
      </c>
      <c r="S309" s="36"/>
      <c r="T309" s="38">
        <v>296</v>
      </c>
    </row>
    <row r="310" spans="2:20" ht="15.6" x14ac:dyDescent="0.3">
      <c r="B310" s="54">
        <f t="shared" si="71"/>
        <v>5</v>
      </c>
      <c r="C310" s="54" t="s">
        <v>494</v>
      </c>
      <c r="D310" s="43" t="s">
        <v>495</v>
      </c>
      <c r="E310" s="32">
        <v>45473</v>
      </c>
      <c r="F310" s="33">
        <v>324.91205000000002</v>
      </c>
      <c r="G310" s="34">
        <v>10</v>
      </c>
      <c r="H310" s="35">
        <f t="shared" si="68"/>
        <v>32.491205000000001</v>
      </c>
      <c r="I310" s="33">
        <v>1000.56101</v>
      </c>
      <c r="J310" s="33">
        <v>1198.2154459999999</v>
      </c>
      <c r="K310" s="33">
        <v>10.940060000000001</v>
      </c>
      <c r="L310" s="33">
        <v>3.4225999999999999E-2</v>
      </c>
      <c r="M310" s="33">
        <v>144.67131599999999</v>
      </c>
      <c r="N310" s="35">
        <f t="shared" si="69"/>
        <v>-39.683368999999999</v>
      </c>
      <c r="O310" s="33">
        <v>184.35468499999999</v>
      </c>
      <c r="P310" s="36">
        <v>0</v>
      </c>
      <c r="Q310" s="36">
        <v>0</v>
      </c>
      <c r="R310" s="37">
        <f t="shared" si="70"/>
        <v>0</v>
      </c>
      <c r="S310" s="36"/>
      <c r="T310" s="38">
        <v>1538</v>
      </c>
    </row>
    <row r="311" spans="2:20" ht="15.6" x14ac:dyDescent="0.3">
      <c r="B311" s="54">
        <f t="shared" si="71"/>
        <v>6</v>
      </c>
      <c r="C311" s="54" t="s">
        <v>496</v>
      </c>
      <c r="D311" s="31" t="s">
        <v>497</v>
      </c>
      <c r="E311" s="32">
        <v>45473</v>
      </c>
      <c r="F311" s="33"/>
      <c r="G311" s="34">
        <v>10</v>
      </c>
      <c r="H311" s="35">
        <f t="shared" si="68"/>
        <v>0</v>
      </c>
      <c r="I311" s="33"/>
      <c r="J311" s="33"/>
      <c r="K311" s="33"/>
      <c r="L311" s="33"/>
      <c r="M311" s="33"/>
      <c r="N311" s="35">
        <f t="shared" si="69"/>
        <v>0</v>
      </c>
      <c r="O311" s="33"/>
      <c r="P311" s="36"/>
      <c r="Q311" s="36"/>
      <c r="R311" s="37">
        <f t="shared" si="70"/>
        <v>0</v>
      </c>
      <c r="S311" s="36"/>
      <c r="T311" s="38"/>
    </row>
    <row r="312" spans="2:20" ht="15.6" x14ac:dyDescent="0.3">
      <c r="B312" s="54">
        <f t="shared" si="71"/>
        <v>7</v>
      </c>
      <c r="C312" s="54" t="s">
        <v>498</v>
      </c>
      <c r="D312" s="31" t="s">
        <v>499</v>
      </c>
      <c r="E312" s="32">
        <v>45473</v>
      </c>
      <c r="F312" s="33"/>
      <c r="G312" s="34">
        <v>10</v>
      </c>
      <c r="H312" s="35">
        <f t="shared" si="68"/>
        <v>0</v>
      </c>
      <c r="I312" s="33"/>
      <c r="J312" s="33"/>
      <c r="K312" s="33"/>
      <c r="L312" s="33"/>
      <c r="M312" s="33"/>
      <c r="N312" s="35">
        <f t="shared" si="69"/>
        <v>0</v>
      </c>
      <c r="O312" s="33"/>
      <c r="P312" s="36"/>
      <c r="Q312" s="36"/>
      <c r="R312" s="37">
        <f t="shared" si="70"/>
        <v>0</v>
      </c>
      <c r="S312" s="36"/>
      <c r="T312" s="38"/>
    </row>
    <row r="313" spans="2:20" ht="15.6" x14ac:dyDescent="0.3">
      <c r="B313" s="54">
        <f t="shared" si="71"/>
        <v>8</v>
      </c>
      <c r="C313" s="54" t="s">
        <v>500</v>
      </c>
      <c r="D313" s="31" t="s">
        <v>501</v>
      </c>
      <c r="E313" s="32">
        <v>45473</v>
      </c>
      <c r="F313" s="33">
        <v>54</v>
      </c>
      <c r="G313" s="34">
        <v>10</v>
      </c>
      <c r="H313" s="35">
        <f t="shared" si="68"/>
        <v>5.4</v>
      </c>
      <c r="I313" s="33">
        <v>219.312558</v>
      </c>
      <c r="J313" s="33">
        <v>274.345933</v>
      </c>
      <c r="K313" s="33">
        <v>0</v>
      </c>
      <c r="L313" s="33">
        <v>7.54E-4</v>
      </c>
      <c r="M313" s="33">
        <v>0.116414</v>
      </c>
      <c r="N313" s="35">
        <f t="shared" si="69"/>
        <v>2.075507</v>
      </c>
      <c r="O313" s="33">
        <v>-1.959093</v>
      </c>
      <c r="P313" s="36">
        <v>0</v>
      </c>
      <c r="Q313" s="36">
        <v>0</v>
      </c>
      <c r="R313" s="37">
        <f t="shared" si="70"/>
        <v>0</v>
      </c>
      <c r="S313" s="36"/>
      <c r="T313" s="38">
        <v>611</v>
      </c>
    </row>
    <row r="314" spans="2:20" ht="15.6" x14ac:dyDescent="0.3">
      <c r="B314" s="54">
        <f t="shared" si="71"/>
        <v>9</v>
      </c>
      <c r="C314" s="54" t="s">
        <v>502</v>
      </c>
      <c r="D314" s="43" t="s">
        <v>503</v>
      </c>
      <c r="E314" s="32">
        <v>45473</v>
      </c>
      <c r="F314" s="72">
        <v>242</v>
      </c>
      <c r="G314" s="73">
        <v>10</v>
      </c>
      <c r="H314" s="74">
        <f t="shared" si="68"/>
        <v>24.2</v>
      </c>
      <c r="I314" s="72"/>
      <c r="J314" s="72"/>
      <c r="K314" s="72"/>
      <c r="L314" s="72"/>
      <c r="M314" s="72">
        <v>-59.645000000000003</v>
      </c>
      <c r="N314" s="74">
        <f t="shared" si="69"/>
        <v>-5.5670000000000002</v>
      </c>
      <c r="O314" s="72">
        <v>-54.078000000000003</v>
      </c>
      <c r="P314" s="75">
        <v>0</v>
      </c>
      <c r="Q314" s="75">
        <v>0</v>
      </c>
      <c r="R314" s="76">
        <f t="shared" si="70"/>
        <v>0</v>
      </c>
      <c r="S314" s="75"/>
      <c r="T314" s="77"/>
    </row>
    <row r="315" spans="2:20" ht="15.6" x14ac:dyDescent="0.3">
      <c r="B315" s="54">
        <f t="shared" si="71"/>
        <v>10</v>
      </c>
      <c r="C315" s="54" t="s">
        <v>504</v>
      </c>
      <c r="D315" s="31" t="s">
        <v>505</v>
      </c>
      <c r="E315" s="32">
        <v>45473</v>
      </c>
      <c r="F315" s="33">
        <v>173.52332899999999</v>
      </c>
      <c r="G315" s="34">
        <v>10</v>
      </c>
      <c r="H315" s="35">
        <f t="shared" si="68"/>
        <v>17.3523329</v>
      </c>
      <c r="I315" s="33">
        <v>-588.89304000000004</v>
      </c>
      <c r="J315" s="33">
        <v>40.770395000000001</v>
      </c>
      <c r="K315" s="33">
        <v>0</v>
      </c>
      <c r="L315" s="33">
        <v>4.7780000000000001E-3</v>
      </c>
      <c r="M315" s="33">
        <v>14.086001</v>
      </c>
      <c r="N315" s="35">
        <f t="shared" si="69"/>
        <v>0</v>
      </c>
      <c r="O315" s="33">
        <v>14.086001</v>
      </c>
      <c r="P315" s="36">
        <v>0</v>
      </c>
      <c r="Q315" s="36">
        <v>0</v>
      </c>
      <c r="R315" s="37">
        <f t="shared" si="70"/>
        <v>0</v>
      </c>
      <c r="S315" s="36"/>
      <c r="T315" s="38">
        <v>2888</v>
      </c>
    </row>
    <row r="316" spans="2:20" ht="15.6" x14ac:dyDescent="0.3">
      <c r="B316" s="54">
        <f t="shared" si="71"/>
        <v>11</v>
      </c>
      <c r="C316" s="54" t="s">
        <v>506</v>
      </c>
      <c r="D316" s="31" t="s">
        <v>507</v>
      </c>
      <c r="E316" s="32">
        <v>45473</v>
      </c>
      <c r="F316" s="33">
        <v>130</v>
      </c>
      <c r="G316" s="34">
        <v>10</v>
      </c>
      <c r="H316" s="35">
        <f>+F316/G316</f>
        <v>13</v>
      </c>
      <c r="I316" s="33">
        <v>3270.1016089999998</v>
      </c>
      <c r="J316" s="33">
        <v>14848.707942999999</v>
      </c>
      <c r="K316" s="33">
        <v>888.78026899999998</v>
      </c>
      <c r="L316" s="33">
        <v>7.8091819999999998</v>
      </c>
      <c r="M316" s="33">
        <v>-703.59904700000004</v>
      </c>
      <c r="N316" s="35">
        <f>+M316-O316</f>
        <v>0.25191899999992984</v>
      </c>
      <c r="O316" s="33">
        <v>-703.85096599999997</v>
      </c>
      <c r="P316" s="36">
        <v>0</v>
      </c>
      <c r="Q316" s="36">
        <v>0</v>
      </c>
      <c r="R316" s="37">
        <f>SUM(P316:Q316)</f>
        <v>0</v>
      </c>
      <c r="S316" s="36"/>
      <c r="T316" s="38">
        <v>388</v>
      </c>
    </row>
    <row r="317" spans="2:20" ht="15.6" x14ac:dyDescent="0.3">
      <c r="B317" s="54">
        <f t="shared" si="71"/>
        <v>12</v>
      </c>
      <c r="C317" s="54" t="s">
        <v>508</v>
      </c>
      <c r="D317" s="31" t="s">
        <v>509</v>
      </c>
      <c r="E317" s="32">
        <v>45473</v>
      </c>
      <c r="F317" s="33"/>
      <c r="G317" s="34">
        <v>10</v>
      </c>
      <c r="H317" s="35">
        <f t="shared" si="68"/>
        <v>0</v>
      </c>
      <c r="I317" s="33"/>
      <c r="J317" s="33"/>
      <c r="K317" s="33"/>
      <c r="L317" s="33"/>
      <c r="M317" s="33"/>
      <c r="N317" s="35">
        <f t="shared" si="69"/>
        <v>0</v>
      </c>
      <c r="O317" s="33"/>
      <c r="P317" s="36"/>
      <c r="Q317" s="36"/>
      <c r="R317" s="37">
        <f t="shared" si="70"/>
        <v>0</v>
      </c>
      <c r="S317" s="36"/>
      <c r="T317" s="38"/>
    </row>
    <row r="318" spans="2:20" ht="15.6" x14ac:dyDescent="0.3">
      <c r="B318" s="54">
        <f t="shared" si="71"/>
        <v>13</v>
      </c>
      <c r="C318" s="54" t="s">
        <v>510</v>
      </c>
      <c r="D318" s="31" t="s">
        <v>511</v>
      </c>
      <c r="E318" s="32">
        <v>45473</v>
      </c>
      <c r="F318" s="33"/>
      <c r="G318" s="34">
        <v>10</v>
      </c>
      <c r="H318" s="35">
        <f t="shared" si="68"/>
        <v>0</v>
      </c>
      <c r="I318" s="33"/>
      <c r="J318" s="33"/>
      <c r="K318" s="33"/>
      <c r="L318" s="33"/>
      <c r="M318" s="33"/>
      <c r="N318" s="35">
        <f t="shared" si="69"/>
        <v>0</v>
      </c>
      <c r="O318" s="33"/>
      <c r="P318" s="36"/>
      <c r="Q318" s="36"/>
      <c r="R318" s="37">
        <f t="shared" si="70"/>
        <v>0</v>
      </c>
      <c r="S318" s="36"/>
      <c r="T318" s="38"/>
    </row>
    <row r="319" spans="2:20" ht="15.6" x14ac:dyDescent="0.3">
      <c r="B319" s="54">
        <f t="shared" si="71"/>
        <v>14</v>
      </c>
      <c r="C319" s="54" t="s">
        <v>512</v>
      </c>
      <c r="D319" s="31" t="s">
        <v>513</v>
      </c>
      <c r="E319" s="32">
        <v>45473</v>
      </c>
      <c r="F319" s="33"/>
      <c r="G319" s="34">
        <v>10</v>
      </c>
      <c r="H319" s="35">
        <f t="shared" si="68"/>
        <v>0</v>
      </c>
      <c r="I319" s="33"/>
      <c r="J319" s="33"/>
      <c r="K319" s="33"/>
      <c r="L319" s="33"/>
      <c r="M319" s="33"/>
      <c r="N319" s="35">
        <f t="shared" si="69"/>
        <v>0</v>
      </c>
      <c r="O319" s="33"/>
      <c r="P319" s="36"/>
      <c r="Q319" s="36"/>
      <c r="R319" s="37">
        <f t="shared" si="70"/>
        <v>0</v>
      </c>
      <c r="S319" s="36"/>
      <c r="T319" s="38"/>
    </row>
    <row r="320" spans="2:20" ht="15.6" x14ac:dyDescent="0.3">
      <c r="B320" s="54">
        <f t="shared" si="71"/>
        <v>15</v>
      </c>
      <c r="C320" s="54" t="s">
        <v>514</v>
      </c>
      <c r="D320" s="31" t="s">
        <v>515</v>
      </c>
      <c r="E320" s="32">
        <v>45473</v>
      </c>
      <c r="F320" s="33"/>
      <c r="G320" s="34">
        <v>10</v>
      </c>
      <c r="H320" s="35">
        <f t="shared" si="68"/>
        <v>0</v>
      </c>
      <c r="I320" s="33"/>
      <c r="J320" s="33"/>
      <c r="K320" s="33"/>
      <c r="L320" s="33"/>
      <c r="M320" s="33"/>
      <c r="N320" s="35">
        <f t="shared" si="69"/>
        <v>0</v>
      </c>
      <c r="O320" s="33"/>
      <c r="P320" s="36"/>
      <c r="Q320" s="36"/>
      <c r="R320" s="37">
        <f t="shared" si="70"/>
        <v>0</v>
      </c>
      <c r="S320" s="36"/>
      <c r="T320" s="38"/>
    </row>
    <row r="321" spans="2:20" ht="15.6" x14ac:dyDescent="0.3">
      <c r="B321" s="54">
        <f t="shared" si="71"/>
        <v>16</v>
      </c>
      <c r="C321" s="54" t="s">
        <v>516</v>
      </c>
      <c r="D321" s="31" t="s">
        <v>517</v>
      </c>
      <c r="E321" s="32">
        <v>45473</v>
      </c>
      <c r="F321" s="33">
        <v>98.6</v>
      </c>
      <c r="G321" s="34">
        <v>10</v>
      </c>
      <c r="H321" s="35">
        <f t="shared" si="68"/>
        <v>9.86</v>
      </c>
      <c r="I321" s="33">
        <v>-40.548690000000001</v>
      </c>
      <c r="J321" s="33">
        <v>72.311999999999998</v>
      </c>
      <c r="K321" s="33">
        <v>0</v>
      </c>
      <c r="L321" s="33">
        <v>2.0899999999999998E-3</v>
      </c>
      <c r="M321" s="33">
        <v>-1.2224790000000001</v>
      </c>
      <c r="N321" s="35">
        <f t="shared" si="69"/>
        <v>0</v>
      </c>
      <c r="O321" s="33">
        <v>-1.2224790000000001</v>
      </c>
      <c r="P321" s="36">
        <v>0</v>
      </c>
      <c r="Q321" s="36">
        <v>0</v>
      </c>
      <c r="R321" s="37">
        <f t="shared" si="70"/>
        <v>0</v>
      </c>
      <c r="S321" s="36"/>
      <c r="T321" s="38">
        <v>6129</v>
      </c>
    </row>
    <row r="322" spans="2:20" ht="15.6" x14ac:dyDescent="0.3">
      <c r="B322" s="56"/>
      <c r="C322" s="56"/>
      <c r="D322" s="58"/>
      <c r="E322" s="59"/>
      <c r="F322" s="60"/>
      <c r="G322" s="40"/>
      <c r="H322" s="61"/>
      <c r="I322" s="60"/>
      <c r="J322" s="60"/>
      <c r="K322" s="60"/>
      <c r="L322" s="60"/>
      <c r="M322" s="60"/>
      <c r="N322" s="61"/>
      <c r="O322" s="60"/>
      <c r="P322" s="62"/>
      <c r="Q322" s="62"/>
      <c r="R322" s="63"/>
      <c r="S322" s="62"/>
      <c r="T322" s="64"/>
    </row>
    <row r="323" spans="2:20" ht="15.6" x14ac:dyDescent="0.3">
      <c r="B323" s="44">
        <f>COUNT(B270:B322)</f>
        <v>50</v>
      </c>
      <c r="C323" s="44"/>
      <c r="D323" s="45"/>
      <c r="E323" s="45"/>
      <c r="F323" s="45">
        <f>SUM(F270:F322)</f>
        <v>55123.145608999992</v>
      </c>
      <c r="G323" s="46"/>
      <c r="H323" s="47">
        <f t="shared" ref="H323:O323" si="72">SUM(H270:H322)</f>
        <v>5512.3145608999994</v>
      </c>
      <c r="I323" s="45">
        <f t="shared" si="72"/>
        <v>596287.90923300001</v>
      </c>
      <c r="J323" s="45">
        <f t="shared" si="72"/>
        <v>1395157.4678899995</v>
      </c>
      <c r="K323" s="45">
        <f t="shared" si="72"/>
        <v>1413583.1257009997</v>
      </c>
      <c r="L323" s="45">
        <f t="shared" si="72"/>
        <v>86984.770433999991</v>
      </c>
      <c r="M323" s="45">
        <f t="shared" si="72"/>
        <v>40653.916259000012</v>
      </c>
      <c r="N323" s="48">
        <f t="shared" si="72"/>
        <v>2375.0072820000009</v>
      </c>
      <c r="O323" s="45">
        <f t="shared" si="72"/>
        <v>38278.908977000006</v>
      </c>
      <c r="P323" s="49"/>
      <c r="Q323" s="49"/>
      <c r="R323" s="50"/>
      <c r="S323" s="49"/>
      <c r="T323" s="51">
        <f>SUM(T270:T322)</f>
        <v>93907</v>
      </c>
    </row>
    <row r="324" spans="2:20" ht="15.6" x14ac:dyDescent="0.3">
      <c r="B324" s="56"/>
      <c r="C324" s="56"/>
      <c r="D324" s="58"/>
      <c r="E324" s="59"/>
      <c r="F324" s="60"/>
      <c r="G324" s="40"/>
      <c r="H324" s="61"/>
      <c r="I324" s="60"/>
      <c r="J324" s="60"/>
      <c r="K324" s="60"/>
      <c r="L324" s="60"/>
      <c r="M324" s="60"/>
      <c r="N324" s="61"/>
      <c r="O324" s="60"/>
      <c r="P324" s="62"/>
      <c r="Q324" s="62"/>
      <c r="R324" s="63"/>
      <c r="S324" s="62"/>
      <c r="T324" s="64"/>
    </row>
    <row r="325" spans="2:20" ht="15.6" x14ac:dyDescent="0.3">
      <c r="B325" s="56"/>
      <c r="C325" s="56"/>
      <c r="D325" s="58"/>
      <c r="E325" s="59"/>
      <c r="F325" s="60"/>
      <c r="G325" s="40"/>
      <c r="H325" s="61"/>
      <c r="I325" s="60"/>
      <c r="J325" s="60"/>
      <c r="K325" s="60"/>
      <c r="L325" s="60"/>
      <c r="M325" s="60"/>
      <c r="N325" s="61"/>
      <c r="O325" s="60"/>
      <c r="P325" s="62"/>
      <c r="Q325" s="62"/>
      <c r="R325" s="63"/>
      <c r="S325" s="62"/>
      <c r="T325" s="64"/>
    </row>
    <row r="326" spans="2:20" ht="18" x14ac:dyDescent="0.35">
      <c r="B326" s="25"/>
      <c r="C326" s="29">
        <v>11</v>
      </c>
      <c r="D326" s="29" t="s">
        <v>518</v>
      </c>
      <c r="E326" s="55"/>
      <c r="F326" s="55"/>
      <c r="G326" s="40"/>
      <c r="H326" s="41"/>
      <c r="I326" s="27"/>
      <c r="J326" s="27"/>
      <c r="K326" s="27"/>
      <c r="L326" s="27"/>
      <c r="M326" s="27"/>
      <c r="N326" s="42"/>
      <c r="O326" s="27"/>
      <c r="P326" s="27"/>
      <c r="Q326" s="27"/>
      <c r="R326" s="42"/>
      <c r="S326" s="27"/>
      <c r="T326" s="27"/>
    </row>
    <row r="327" spans="2:20" ht="15.6" x14ac:dyDescent="0.3">
      <c r="B327" s="56"/>
      <c r="C327" s="56"/>
      <c r="D327" s="58"/>
      <c r="E327" s="59"/>
      <c r="F327" s="60"/>
      <c r="G327" s="40"/>
      <c r="H327" s="61"/>
      <c r="I327" s="60"/>
      <c r="J327" s="60"/>
      <c r="K327" s="60"/>
      <c r="L327" s="60"/>
      <c r="M327" s="60"/>
      <c r="N327" s="61"/>
      <c r="O327" s="60"/>
      <c r="P327" s="62"/>
      <c r="Q327" s="62"/>
      <c r="R327" s="63"/>
      <c r="S327" s="62"/>
      <c r="T327" s="64"/>
    </row>
    <row r="328" spans="2:20" ht="15.6" x14ac:dyDescent="0.3">
      <c r="B328" s="54">
        <v>1</v>
      </c>
      <c r="C328" s="54" t="s">
        <v>519</v>
      </c>
      <c r="D328" s="31" t="s">
        <v>520</v>
      </c>
      <c r="E328" s="32">
        <v>45473</v>
      </c>
      <c r="F328" s="33">
        <v>95.0625</v>
      </c>
      <c r="G328" s="34">
        <v>10</v>
      </c>
      <c r="H328" s="35">
        <f>+F328/G328</f>
        <v>9.5062499999999996</v>
      </c>
      <c r="I328" s="33">
        <v>3133.0430000000001</v>
      </c>
      <c r="J328" s="33">
        <v>3891.2620000000002</v>
      </c>
      <c r="K328" s="33">
        <v>891.26800000000003</v>
      </c>
      <c r="L328" s="33">
        <v>92.248999999999995</v>
      </c>
      <c r="M328" s="33">
        <v>288.26499999999999</v>
      </c>
      <c r="N328" s="35">
        <f>+M328-O328</f>
        <v>-17.949000000000012</v>
      </c>
      <c r="O328" s="33">
        <v>306.214</v>
      </c>
      <c r="P328" s="36">
        <v>0</v>
      </c>
      <c r="Q328" s="36">
        <v>0</v>
      </c>
      <c r="R328" s="37">
        <f>SUM(P328:Q328)</f>
        <v>0</v>
      </c>
      <c r="S328" s="36"/>
      <c r="T328" s="38">
        <v>1096</v>
      </c>
    </row>
    <row r="329" spans="2:20" ht="15.6" x14ac:dyDescent="0.3">
      <c r="B329" s="56"/>
      <c r="C329" s="56"/>
      <c r="D329" s="58"/>
      <c r="E329" s="59"/>
      <c r="F329" s="60"/>
      <c r="G329" s="40"/>
      <c r="H329" s="61"/>
      <c r="I329" s="60"/>
      <c r="J329" s="60"/>
      <c r="K329" s="60"/>
      <c r="L329" s="60"/>
      <c r="M329" s="60"/>
      <c r="N329" s="61"/>
      <c r="O329" s="60"/>
      <c r="P329" s="62"/>
      <c r="Q329" s="62"/>
      <c r="R329" s="63"/>
      <c r="S329" s="62"/>
      <c r="T329" s="64"/>
    </row>
    <row r="330" spans="2:20" ht="15.6" x14ac:dyDescent="0.3">
      <c r="B330" s="44">
        <f>COUNT(B328:B329)</f>
        <v>1</v>
      </c>
      <c r="C330" s="44"/>
      <c r="D330" s="45"/>
      <c r="E330" s="45"/>
      <c r="F330" s="45">
        <f>SUM(F328:F329)</f>
        <v>95.0625</v>
      </c>
      <c r="G330" s="46"/>
      <c r="H330" s="47">
        <f t="shared" ref="H330:O330" si="73">SUM(H328:H329)</f>
        <v>9.5062499999999996</v>
      </c>
      <c r="I330" s="45">
        <f t="shared" si="73"/>
        <v>3133.0430000000001</v>
      </c>
      <c r="J330" s="45">
        <f t="shared" si="73"/>
        <v>3891.2620000000002</v>
      </c>
      <c r="K330" s="45">
        <f t="shared" si="73"/>
        <v>891.26800000000003</v>
      </c>
      <c r="L330" s="45">
        <f t="shared" si="73"/>
        <v>92.248999999999995</v>
      </c>
      <c r="M330" s="45">
        <f t="shared" si="73"/>
        <v>288.26499999999999</v>
      </c>
      <c r="N330" s="48">
        <f t="shared" si="73"/>
        <v>-17.949000000000012</v>
      </c>
      <c r="O330" s="45">
        <f t="shared" si="73"/>
        <v>306.214</v>
      </c>
      <c r="P330" s="49"/>
      <c r="Q330" s="49"/>
      <c r="R330" s="50"/>
      <c r="S330" s="49"/>
      <c r="T330" s="51">
        <f>SUM(T328:T329)</f>
        <v>1096</v>
      </c>
    </row>
    <row r="331" spans="2:20" ht="15.6" x14ac:dyDescent="0.3">
      <c r="B331" s="56"/>
      <c r="C331" s="56"/>
      <c r="D331" s="58"/>
      <c r="E331" s="59"/>
      <c r="F331" s="60"/>
      <c r="G331" s="40"/>
      <c r="H331" s="61"/>
      <c r="I331" s="60"/>
      <c r="J331" s="60"/>
      <c r="K331" s="60"/>
      <c r="L331" s="60"/>
      <c r="M331" s="60"/>
      <c r="N331" s="61"/>
      <c r="O331" s="60"/>
      <c r="P331" s="62"/>
      <c r="Q331" s="62"/>
      <c r="R331" s="63"/>
      <c r="S331" s="62"/>
      <c r="T331" s="64"/>
    </row>
    <row r="332" spans="2:20" ht="15.6" x14ac:dyDescent="0.3">
      <c r="B332" s="56"/>
      <c r="C332" s="56"/>
      <c r="D332" s="58"/>
      <c r="E332" s="59"/>
      <c r="F332" s="60"/>
      <c r="G332" s="40"/>
      <c r="H332" s="61"/>
      <c r="I332" s="60"/>
      <c r="J332" s="60"/>
      <c r="K332" s="60"/>
      <c r="L332" s="60"/>
      <c r="M332" s="60"/>
      <c r="N332" s="61"/>
      <c r="O332" s="60"/>
      <c r="P332" s="62"/>
      <c r="Q332" s="62"/>
      <c r="R332" s="63"/>
      <c r="S332" s="62"/>
      <c r="T332" s="64"/>
    </row>
    <row r="333" spans="2:20" ht="18" x14ac:dyDescent="0.35">
      <c r="B333" s="25"/>
      <c r="C333" s="29">
        <v>12</v>
      </c>
      <c r="D333" s="29" t="s">
        <v>521</v>
      </c>
      <c r="E333" s="55"/>
      <c r="F333" s="55"/>
      <c r="G333" s="40"/>
      <c r="H333" s="41"/>
      <c r="I333" s="27"/>
      <c r="J333" s="27"/>
      <c r="K333" s="27"/>
      <c r="L333" s="27"/>
      <c r="M333" s="27"/>
      <c r="N333" s="42"/>
      <c r="O333" s="27"/>
      <c r="P333" s="27"/>
      <c r="Q333" s="27"/>
      <c r="R333" s="42"/>
      <c r="S333" s="27"/>
      <c r="T333" s="27"/>
    </row>
    <row r="334" spans="2:20" ht="15.6" x14ac:dyDescent="0.3">
      <c r="B334" s="56"/>
      <c r="C334" s="56"/>
      <c r="D334" s="58"/>
      <c r="E334" s="59"/>
      <c r="F334" s="60"/>
      <c r="G334" s="40"/>
      <c r="H334" s="61"/>
      <c r="I334" s="60"/>
      <c r="J334" s="60"/>
      <c r="K334" s="60"/>
      <c r="L334" s="60"/>
      <c r="M334" s="60"/>
      <c r="N334" s="61"/>
      <c r="O334" s="60"/>
      <c r="P334" s="62"/>
      <c r="Q334" s="62"/>
      <c r="R334" s="63"/>
      <c r="S334" s="62"/>
      <c r="T334" s="64"/>
    </row>
    <row r="335" spans="2:20" ht="15.6" x14ac:dyDescent="0.3">
      <c r="B335" s="54">
        <v>1</v>
      </c>
      <c r="C335" s="54" t="s">
        <v>522</v>
      </c>
      <c r="D335" s="31" t="s">
        <v>523</v>
      </c>
      <c r="E335" s="32">
        <v>45473</v>
      </c>
      <c r="F335" s="33">
        <v>1087.2896000000001</v>
      </c>
      <c r="G335" s="34">
        <v>10</v>
      </c>
      <c r="H335" s="35">
        <f t="shared" ref="H335:H340" si="74">+F335/G335</f>
        <v>108.72896</v>
      </c>
      <c r="I335" s="33">
        <v>13287.163</v>
      </c>
      <c r="J335" s="33">
        <v>34588.885999999999</v>
      </c>
      <c r="K335" s="33">
        <v>34013.580999999998</v>
      </c>
      <c r="L335" s="33">
        <v>1494.587</v>
      </c>
      <c r="M335" s="33">
        <v>-517.95799999999997</v>
      </c>
      <c r="N335" s="35">
        <f t="shared" ref="N335:N340" si="75">+M335-O335</f>
        <v>-313.59999999999997</v>
      </c>
      <c r="O335" s="33">
        <v>-204.358</v>
      </c>
      <c r="P335" s="36">
        <v>0</v>
      </c>
      <c r="Q335" s="36">
        <v>0</v>
      </c>
      <c r="R335" s="37">
        <f t="shared" ref="R335:R340" si="76">SUM(P335:Q335)</f>
        <v>0</v>
      </c>
      <c r="S335" s="36">
        <v>41.71</v>
      </c>
      <c r="T335" s="38">
        <v>1435</v>
      </c>
    </row>
    <row r="336" spans="2:20" ht="15.6" x14ac:dyDescent="0.3">
      <c r="B336" s="54">
        <f t="shared" ref="B336:B340" si="77">+B335+1</f>
        <v>2</v>
      </c>
      <c r="C336" s="54" t="s">
        <v>524</v>
      </c>
      <c r="D336" s="31" t="s">
        <v>525</v>
      </c>
      <c r="E336" s="32">
        <v>45473</v>
      </c>
      <c r="F336" s="33">
        <v>3105.0699500000001</v>
      </c>
      <c r="G336" s="34">
        <v>10</v>
      </c>
      <c r="H336" s="35">
        <f t="shared" si="74"/>
        <v>310.50699500000002</v>
      </c>
      <c r="I336" s="33">
        <v>56848.341353999996</v>
      </c>
      <c r="J336" s="33">
        <f>38113.661783+50158.158504</f>
        <v>88271.82028700001</v>
      </c>
      <c r="K336" s="33">
        <v>120667.92533699999</v>
      </c>
      <c r="L336" s="33">
        <v>1735.357851</v>
      </c>
      <c r="M336" s="33">
        <v>3873.533954</v>
      </c>
      <c r="N336" s="35">
        <f t="shared" si="75"/>
        <v>1513.417782</v>
      </c>
      <c r="O336" s="33">
        <v>2360.116172</v>
      </c>
      <c r="P336" s="36">
        <v>0</v>
      </c>
      <c r="Q336" s="36">
        <v>0</v>
      </c>
      <c r="R336" s="37">
        <f t="shared" si="76"/>
        <v>0</v>
      </c>
      <c r="S336" s="36"/>
      <c r="T336" s="38">
        <v>1947</v>
      </c>
    </row>
    <row r="337" spans="2:20" ht="15.6" x14ac:dyDescent="0.3">
      <c r="B337" s="54">
        <f t="shared" si="77"/>
        <v>3</v>
      </c>
      <c r="C337" s="54" t="s">
        <v>526</v>
      </c>
      <c r="D337" s="31" t="s">
        <v>527</v>
      </c>
      <c r="E337" s="32">
        <v>45473</v>
      </c>
      <c r="F337" s="33">
        <v>2303.6965</v>
      </c>
      <c r="G337" s="34">
        <v>10</v>
      </c>
      <c r="H337" s="35">
        <f t="shared" si="74"/>
        <v>230.36965000000001</v>
      </c>
      <c r="I337" s="33">
        <v>3520.7920720000002</v>
      </c>
      <c r="J337" s="33">
        <v>4795.0745269999998</v>
      </c>
      <c r="K337" s="33">
        <v>2946.997664</v>
      </c>
      <c r="L337" s="33">
        <v>95.621779000000004</v>
      </c>
      <c r="M337" s="33">
        <v>367.18121000000002</v>
      </c>
      <c r="N337" s="35">
        <f t="shared" si="75"/>
        <v>81.236221999999998</v>
      </c>
      <c r="O337" s="33">
        <v>285.94498800000002</v>
      </c>
      <c r="P337" s="36">
        <v>0</v>
      </c>
      <c r="Q337" s="36">
        <v>0</v>
      </c>
      <c r="R337" s="37">
        <f t="shared" si="76"/>
        <v>0</v>
      </c>
      <c r="S337" s="36">
        <v>75</v>
      </c>
      <c r="T337" s="38">
        <v>6685</v>
      </c>
    </row>
    <row r="338" spans="2:20" ht="15.6" x14ac:dyDescent="0.3">
      <c r="B338" s="54">
        <f t="shared" si="77"/>
        <v>4</v>
      </c>
      <c r="C338" s="54" t="s">
        <v>528</v>
      </c>
      <c r="D338" s="31" t="s">
        <v>529</v>
      </c>
      <c r="E338" s="32">
        <v>45473</v>
      </c>
      <c r="F338" s="33">
        <v>155.53174000000001</v>
      </c>
      <c r="G338" s="34">
        <v>10</v>
      </c>
      <c r="H338" s="35">
        <f t="shared" si="74"/>
        <v>15.553174000000002</v>
      </c>
      <c r="I338" s="33">
        <v>1470.861314</v>
      </c>
      <c r="J338" s="33">
        <v>2182.4040660000001</v>
      </c>
      <c r="K338" s="33">
        <v>2154.2038689999999</v>
      </c>
      <c r="L338" s="33">
        <v>1.4067529999999999</v>
      </c>
      <c r="M338" s="33">
        <v>95.667086999999995</v>
      </c>
      <c r="N338" s="35">
        <f t="shared" si="75"/>
        <v>29.363551999999999</v>
      </c>
      <c r="O338" s="33">
        <v>66.303534999999997</v>
      </c>
      <c r="P338" s="36">
        <v>0</v>
      </c>
      <c r="Q338" s="36">
        <v>0</v>
      </c>
      <c r="R338" s="37">
        <f t="shared" si="76"/>
        <v>0</v>
      </c>
      <c r="S338" s="36"/>
      <c r="T338" s="38">
        <v>600</v>
      </c>
    </row>
    <row r="339" spans="2:20" ht="15.6" x14ac:dyDescent="0.3">
      <c r="B339" s="54">
        <f t="shared" si="77"/>
        <v>5</v>
      </c>
      <c r="C339" s="54" t="s">
        <v>530</v>
      </c>
      <c r="D339" s="31" t="s">
        <v>531</v>
      </c>
      <c r="E339" s="32">
        <v>45473</v>
      </c>
      <c r="F339" s="33">
        <v>1386.99</v>
      </c>
      <c r="G339" s="34">
        <v>10</v>
      </c>
      <c r="H339" s="35">
        <f t="shared" si="74"/>
        <v>138.69900000000001</v>
      </c>
      <c r="I339" s="33">
        <v>4260.518</v>
      </c>
      <c r="J339" s="33">
        <v>11160.468999999999</v>
      </c>
      <c r="K339" s="33">
        <v>13799.512000000001</v>
      </c>
      <c r="L339" s="33">
        <v>844.303</v>
      </c>
      <c r="M339" s="33">
        <v>557.46100000000001</v>
      </c>
      <c r="N339" s="35">
        <f t="shared" si="75"/>
        <v>209.69600000000003</v>
      </c>
      <c r="O339" s="33">
        <v>347.76499999999999</v>
      </c>
      <c r="P339" s="36">
        <v>0</v>
      </c>
      <c r="Q339" s="36">
        <v>0</v>
      </c>
      <c r="R339" s="37">
        <f t="shared" si="76"/>
        <v>0</v>
      </c>
      <c r="S339" s="36"/>
      <c r="T339" s="38">
        <v>1405</v>
      </c>
    </row>
    <row r="340" spans="2:20" ht="15.6" x14ac:dyDescent="0.3">
      <c r="B340" s="54">
        <f t="shared" si="77"/>
        <v>6</v>
      </c>
      <c r="C340" s="54" t="s">
        <v>532</v>
      </c>
      <c r="D340" s="31" t="s">
        <v>533</v>
      </c>
      <c r="E340" s="32">
        <v>45473</v>
      </c>
      <c r="F340" s="33">
        <v>340.685</v>
      </c>
      <c r="G340" s="34">
        <v>10</v>
      </c>
      <c r="H340" s="35">
        <f t="shared" si="74"/>
        <v>34.0685</v>
      </c>
      <c r="I340" s="33">
        <v>6607.5439999999999</v>
      </c>
      <c r="J340" s="33">
        <v>13296.54</v>
      </c>
      <c r="K340" s="33">
        <v>10485.055</v>
      </c>
      <c r="L340" s="33">
        <v>632.97500000000002</v>
      </c>
      <c r="M340" s="33">
        <v>-890.58500000000004</v>
      </c>
      <c r="N340" s="35">
        <f t="shared" si="75"/>
        <v>-68.080000000000041</v>
      </c>
      <c r="O340" s="33">
        <v>-822.505</v>
      </c>
      <c r="P340" s="36">
        <v>0</v>
      </c>
      <c r="Q340" s="36">
        <v>0</v>
      </c>
      <c r="R340" s="37">
        <f t="shared" si="76"/>
        <v>0</v>
      </c>
      <c r="S340" s="36"/>
      <c r="T340" s="38">
        <v>671</v>
      </c>
    </row>
    <row r="341" spans="2:20" ht="15.6" x14ac:dyDescent="0.3">
      <c r="B341" s="56"/>
      <c r="C341" s="56"/>
      <c r="D341" s="58"/>
      <c r="E341" s="59"/>
      <c r="F341" s="60"/>
      <c r="G341" s="40"/>
      <c r="H341" s="61"/>
      <c r="I341" s="60"/>
      <c r="J341" s="60"/>
      <c r="K341" s="60"/>
      <c r="L341" s="60"/>
      <c r="M341" s="60"/>
      <c r="N341" s="61"/>
      <c r="O341" s="60"/>
      <c r="P341" s="62"/>
      <c r="Q341" s="62"/>
      <c r="R341" s="63"/>
      <c r="S341" s="62"/>
      <c r="T341" s="64"/>
    </row>
    <row r="342" spans="2:20" ht="18" x14ac:dyDescent="0.35">
      <c r="B342" s="25"/>
      <c r="C342" s="25"/>
      <c r="D342" s="53" t="s">
        <v>1127</v>
      </c>
      <c r="E342" s="25"/>
      <c r="F342" s="25"/>
      <c r="G342" s="40"/>
      <c r="H342" s="41"/>
      <c r="I342" s="27"/>
      <c r="J342" s="27"/>
      <c r="K342" s="27"/>
      <c r="L342" s="27"/>
      <c r="M342" s="27"/>
      <c r="N342" s="42"/>
      <c r="O342" s="27"/>
      <c r="P342" s="27"/>
      <c r="Q342" s="27"/>
      <c r="R342" s="42"/>
      <c r="S342" s="27"/>
      <c r="T342" s="27"/>
    </row>
    <row r="343" spans="2:20" ht="15.6" x14ac:dyDescent="0.3">
      <c r="B343" s="54">
        <v>1</v>
      </c>
      <c r="C343" s="30" t="s">
        <v>534</v>
      </c>
      <c r="D343" s="31" t="s">
        <v>535</v>
      </c>
      <c r="E343" s="32">
        <v>45473</v>
      </c>
      <c r="F343" s="33">
        <v>134.09549999999999</v>
      </c>
      <c r="G343" s="34">
        <v>10</v>
      </c>
      <c r="H343" s="35">
        <f>+F343/G343</f>
        <v>13.409549999999999</v>
      </c>
      <c r="I343" s="33">
        <v>138.511797</v>
      </c>
      <c r="J343" s="33">
        <v>2529.45649</v>
      </c>
      <c r="K343" s="33">
        <v>0</v>
      </c>
      <c r="L343" s="33">
        <v>5.7171E-2</v>
      </c>
      <c r="M343" s="33">
        <v>116.159432</v>
      </c>
      <c r="N343" s="35">
        <f>+M343-O343</f>
        <v>0</v>
      </c>
      <c r="O343" s="33">
        <v>116.159432</v>
      </c>
      <c r="P343" s="36">
        <v>0</v>
      </c>
      <c r="Q343" s="36">
        <v>0</v>
      </c>
      <c r="R343" s="37">
        <f>SUM(P343:Q343)</f>
        <v>0</v>
      </c>
      <c r="S343" s="36"/>
      <c r="T343" s="38">
        <v>708</v>
      </c>
    </row>
    <row r="344" spans="2:20" ht="15.6" x14ac:dyDescent="0.3">
      <c r="B344" s="54">
        <f>+B343+1</f>
        <v>2</v>
      </c>
      <c r="C344" s="54" t="s">
        <v>536</v>
      </c>
      <c r="D344" s="31" t="s">
        <v>537</v>
      </c>
      <c r="E344" s="32">
        <v>45473</v>
      </c>
      <c r="F344" s="33">
        <v>3663.2108499999999</v>
      </c>
      <c r="G344" s="34">
        <v>10</v>
      </c>
      <c r="H344" s="35">
        <f>+F344/G344</f>
        <v>366.32108499999998</v>
      </c>
      <c r="I344" s="33">
        <v>-17768.446</v>
      </c>
      <c r="J344" s="33">
        <v>4889.7240000000002</v>
      </c>
      <c r="K344" s="33">
        <v>0</v>
      </c>
      <c r="L344" s="33">
        <v>38.823999999999998</v>
      </c>
      <c r="M344" s="33">
        <v>-275.66699999999997</v>
      </c>
      <c r="N344" s="35">
        <f>+M344-O344</f>
        <v>-71.05699999999996</v>
      </c>
      <c r="O344" s="33">
        <v>-204.61</v>
      </c>
      <c r="P344" s="36">
        <v>0</v>
      </c>
      <c r="Q344" s="36">
        <v>0</v>
      </c>
      <c r="R344" s="37">
        <f>SUM(P344:Q344)</f>
        <v>0</v>
      </c>
      <c r="S344" s="36"/>
      <c r="T344" s="38">
        <v>20946</v>
      </c>
    </row>
    <row r="345" spans="2:20" ht="15.6" x14ac:dyDescent="0.3">
      <c r="B345" s="54">
        <f t="shared" ref="B345:B346" si="78">+B344+1</f>
        <v>3</v>
      </c>
      <c r="C345" s="54" t="s">
        <v>538</v>
      </c>
      <c r="D345" s="31" t="s">
        <v>539</v>
      </c>
      <c r="E345" s="32">
        <v>45473</v>
      </c>
      <c r="F345" s="33"/>
      <c r="G345" s="34">
        <v>10</v>
      </c>
      <c r="H345" s="35">
        <f>+F345/G345</f>
        <v>0</v>
      </c>
      <c r="I345" s="33"/>
      <c r="J345" s="33"/>
      <c r="K345" s="33"/>
      <c r="L345" s="33"/>
      <c r="M345" s="33"/>
      <c r="N345" s="35">
        <f>+M345-O345</f>
        <v>0</v>
      </c>
      <c r="O345" s="33"/>
      <c r="P345" s="36"/>
      <c r="Q345" s="36"/>
      <c r="R345" s="37">
        <f>SUM(P345:Q345)</f>
        <v>0</v>
      </c>
      <c r="S345" s="36"/>
      <c r="T345" s="38"/>
    </row>
    <row r="346" spans="2:20" ht="15.6" x14ac:dyDescent="0.3">
      <c r="B346" s="54">
        <f t="shared" si="78"/>
        <v>4</v>
      </c>
      <c r="C346" s="54" t="s">
        <v>540</v>
      </c>
      <c r="D346" s="31" t="s">
        <v>541</v>
      </c>
      <c r="E346" s="32">
        <v>45473</v>
      </c>
      <c r="F346" s="33">
        <v>150</v>
      </c>
      <c r="G346" s="34">
        <v>10</v>
      </c>
      <c r="H346" s="35">
        <f>+F346/G346</f>
        <v>15</v>
      </c>
      <c r="I346" s="33">
        <v>1197.8837699999999</v>
      </c>
      <c r="J346" s="33">
        <v>1518.540452</v>
      </c>
      <c r="K346" s="33">
        <v>57.198776000000002</v>
      </c>
      <c r="L346" s="33">
        <v>3.5687000000000003E-2</v>
      </c>
      <c r="M346" s="33">
        <v>-18.607059</v>
      </c>
      <c r="N346" s="35">
        <f>+M346-O346</f>
        <v>-2.4685619999999986</v>
      </c>
      <c r="O346" s="33">
        <v>-16.138497000000001</v>
      </c>
      <c r="P346" s="36">
        <v>0</v>
      </c>
      <c r="Q346" s="36">
        <v>0</v>
      </c>
      <c r="R346" s="37">
        <f>SUM(P346:Q346)</f>
        <v>0</v>
      </c>
      <c r="S346" s="36"/>
      <c r="T346" s="38"/>
    </row>
    <row r="347" spans="2:20" ht="15.6" x14ac:dyDescent="0.3">
      <c r="B347" s="56"/>
      <c r="C347" s="56"/>
      <c r="D347" s="58"/>
      <c r="E347" s="59"/>
      <c r="F347" s="60"/>
      <c r="G347" s="40"/>
      <c r="H347" s="61"/>
      <c r="I347" s="60"/>
      <c r="J347" s="60"/>
      <c r="K347" s="60"/>
      <c r="L347" s="60"/>
      <c r="M347" s="60"/>
      <c r="N347" s="61"/>
      <c r="O347" s="60"/>
      <c r="P347" s="62"/>
      <c r="Q347" s="62"/>
      <c r="R347" s="63"/>
      <c r="S347" s="62"/>
      <c r="T347" s="64"/>
    </row>
    <row r="348" spans="2:20" ht="15.6" x14ac:dyDescent="0.3">
      <c r="B348" s="44">
        <f>COUNT(B335:B347)</f>
        <v>10</v>
      </c>
      <c r="C348" s="44"/>
      <c r="D348" s="45"/>
      <c r="E348" s="45"/>
      <c r="F348" s="45">
        <f>SUM(F335:F347)</f>
        <v>12326.56914</v>
      </c>
      <c r="G348" s="46"/>
      <c r="H348" s="47">
        <f t="shared" ref="H348:O348" si="79">SUM(H335:H347)</f>
        <v>1232.6569139999999</v>
      </c>
      <c r="I348" s="45">
        <f t="shared" si="79"/>
        <v>69563.169306999989</v>
      </c>
      <c r="J348" s="45">
        <f t="shared" si="79"/>
        <v>163232.91482200002</v>
      </c>
      <c r="K348" s="45">
        <f t="shared" si="79"/>
        <v>184124.47364599997</v>
      </c>
      <c r="L348" s="45">
        <f t="shared" si="79"/>
        <v>4843.1682410000003</v>
      </c>
      <c r="M348" s="45">
        <f t="shared" si="79"/>
        <v>3307.1856239999997</v>
      </c>
      <c r="N348" s="48">
        <f t="shared" si="79"/>
        <v>1378.5079940000003</v>
      </c>
      <c r="O348" s="45">
        <f t="shared" si="79"/>
        <v>1928.6776299999997</v>
      </c>
      <c r="P348" s="49"/>
      <c r="Q348" s="49"/>
      <c r="R348" s="50"/>
      <c r="S348" s="49"/>
      <c r="T348" s="51">
        <f>SUM(T335:T347)</f>
        <v>34397</v>
      </c>
    </row>
    <row r="349" spans="2:20" ht="15.6" x14ac:dyDescent="0.3">
      <c r="B349" s="56"/>
      <c r="C349" s="56"/>
      <c r="D349" s="58"/>
      <c r="E349" s="59"/>
      <c r="F349" s="60"/>
      <c r="G349" s="40"/>
      <c r="H349" s="61"/>
      <c r="I349" s="60"/>
      <c r="J349" s="60"/>
      <c r="K349" s="60"/>
      <c r="L349" s="60"/>
      <c r="M349" s="60"/>
      <c r="N349" s="61"/>
      <c r="O349" s="60"/>
      <c r="P349" s="62"/>
      <c r="Q349" s="62"/>
      <c r="R349" s="63"/>
      <c r="S349" s="62"/>
      <c r="T349" s="64"/>
    </row>
    <row r="350" spans="2:20" ht="15.6" x14ac:dyDescent="0.3">
      <c r="B350" s="56"/>
      <c r="C350" s="56"/>
      <c r="D350" s="58"/>
      <c r="E350" s="59"/>
      <c r="F350" s="60"/>
      <c r="G350" s="40"/>
      <c r="H350" s="61"/>
      <c r="I350" s="60"/>
      <c r="J350" s="60"/>
      <c r="K350" s="60"/>
      <c r="L350" s="60"/>
      <c r="M350" s="60"/>
      <c r="N350" s="61"/>
      <c r="O350" s="60"/>
      <c r="P350" s="62"/>
      <c r="Q350" s="62"/>
      <c r="R350" s="63"/>
      <c r="S350" s="62"/>
      <c r="T350" s="64"/>
    </row>
    <row r="351" spans="2:20" ht="18" x14ac:dyDescent="0.35">
      <c r="B351" s="25"/>
      <c r="C351" s="29">
        <v>13</v>
      </c>
      <c r="D351" s="29" t="s">
        <v>542</v>
      </c>
      <c r="E351" s="55"/>
      <c r="F351" s="55"/>
      <c r="G351" s="40"/>
      <c r="H351" s="41"/>
      <c r="I351" s="27"/>
      <c r="J351" s="27"/>
      <c r="K351" s="27"/>
      <c r="L351" s="27"/>
      <c r="M351" s="27"/>
      <c r="N351" s="42"/>
      <c r="O351" s="27"/>
      <c r="P351" s="27"/>
      <c r="Q351" s="27"/>
      <c r="R351" s="42"/>
      <c r="S351" s="27"/>
      <c r="T351" s="27"/>
    </row>
    <row r="352" spans="2:20" ht="15.6" x14ac:dyDescent="0.3">
      <c r="B352" s="56"/>
      <c r="C352" s="56"/>
      <c r="D352" s="58"/>
      <c r="E352" s="59"/>
      <c r="F352" s="60"/>
      <c r="G352" s="40"/>
      <c r="H352" s="61"/>
      <c r="I352" s="60"/>
      <c r="J352" s="60"/>
      <c r="K352" s="60"/>
      <c r="L352" s="60"/>
      <c r="M352" s="60"/>
      <c r="N352" s="61"/>
      <c r="O352" s="60"/>
      <c r="P352" s="62"/>
      <c r="Q352" s="62"/>
      <c r="R352" s="63"/>
      <c r="S352" s="62"/>
      <c r="T352" s="64"/>
    </row>
    <row r="353" spans="2:20" ht="18" x14ac:dyDescent="0.35">
      <c r="B353" s="56"/>
      <c r="C353" s="56"/>
      <c r="D353" s="53" t="s">
        <v>1127</v>
      </c>
      <c r="E353" s="59"/>
      <c r="F353" s="60"/>
      <c r="G353" s="40"/>
      <c r="H353" s="61"/>
      <c r="I353" s="60"/>
      <c r="J353" s="60"/>
      <c r="K353" s="60"/>
      <c r="L353" s="60"/>
      <c r="M353" s="60"/>
      <c r="N353" s="61"/>
      <c r="O353" s="60"/>
      <c r="P353" s="62"/>
      <c r="Q353" s="62"/>
      <c r="R353" s="63"/>
      <c r="S353" s="62"/>
      <c r="T353" s="64"/>
    </row>
    <row r="354" spans="2:20" ht="15.6" x14ac:dyDescent="0.3">
      <c r="B354" s="54">
        <v>1</v>
      </c>
      <c r="C354" s="54" t="s">
        <v>543</v>
      </c>
      <c r="D354" s="31" t="s">
        <v>544</v>
      </c>
      <c r="E354" s="32">
        <v>45473</v>
      </c>
      <c r="F354" s="33">
        <v>237.63468</v>
      </c>
      <c r="G354" s="34">
        <v>10</v>
      </c>
      <c r="H354" s="35">
        <f>+F354/G354</f>
        <v>23.763468</v>
      </c>
      <c r="I354" s="33">
        <v>-195.96905799999999</v>
      </c>
      <c r="J354" s="33">
        <v>4.149572</v>
      </c>
      <c r="K354" s="33">
        <v>0</v>
      </c>
      <c r="L354" s="33">
        <v>1.0449999999999999E-2</v>
      </c>
      <c r="M354" s="33">
        <v>-7.3826660000000004</v>
      </c>
      <c r="N354" s="35">
        <f>+M354-O354</f>
        <v>0</v>
      </c>
      <c r="O354" s="33">
        <v>-7.3826660000000004</v>
      </c>
      <c r="P354" s="36">
        <v>0</v>
      </c>
      <c r="Q354" s="36">
        <v>0</v>
      </c>
      <c r="R354" s="37">
        <f>SUM(P354:Q354)</f>
        <v>0</v>
      </c>
      <c r="S354" s="36"/>
      <c r="T354" s="38">
        <v>2149</v>
      </c>
    </row>
    <row r="355" spans="2:20" ht="15.6" x14ac:dyDescent="0.3">
      <c r="B355" s="54">
        <f>+B354+1</f>
        <v>2</v>
      </c>
      <c r="C355" s="54" t="s">
        <v>545</v>
      </c>
      <c r="D355" s="31" t="s">
        <v>546</v>
      </c>
      <c r="E355" s="32">
        <v>45473</v>
      </c>
      <c r="F355" s="33">
        <v>43.328189999999999</v>
      </c>
      <c r="G355" s="34">
        <v>10</v>
      </c>
      <c r="H355" s="35">
        <f>+F355/G355</f>
        <v>4.3328189999999998</v>
      </c>
      <c r="I355" s="33">
        <v>809.57533599999999</v>
      </c>
      <c r="J355" s="33">
        <v>1658.7481620000001</v>
      </c>
      <c r="K355" s="33">
        <v>0</v>
      </c>
      <c r="L355" s="33">
        <v>2.63239</v>
      </c>
      <c r="M355" s="33">
        <v>-65.045745999999994</v>
      </c>
      <c r="N355" s="35">
        <f>+M355-O355</f>
        <v>0</v>
      </c>
      <c r="O355" s="33">
        <v>-65.045745999999994</v>
      </c>
      <c r="P355" s="36">
        <v>0</v>
      </c>
      <c r="Q355" s="36">
        <v>0</v>
      </c>
      <c r="R355" s="37">
        <f>SUM(P355:Q355)</f>
        <v>0</v>
      </c>
      <c r="S355" s="36"/>
      <c r="T355" s="38">
        <v>1360</v>
      </c>
    </row>
    <row r="356" spans="2:20" ht="15.6" x14ac:dyDescent="0.3">
      <c r="B356" s="80">
        <f>COUNT(B354:B355)</f>
        <v>2</v>
      </c>
      <c r="C356" s="44"/>
      <c r="D356" s="45"/>
      <c r="E356" s="45"/>
      <c r="F356" s="45">
        <f>SUM(F354:F355)</f>
        <v>280.96287000000001</v>
      </c>
      <c r="G356" s="46"/>
      <c r="H356" s="47">
        <f t="shared" ref="H356:O356" si="80">SUM(H354:H355)</f>
        <v>28.096287</v>
      </c>
      <c r="I356" s="45">
        <f t="shared" si="80"/>
        <v>613.60627799999997</v>
      </c>
      <c r="J356" s="45">
        <f t="shared" si="80"/>
        <v>1662.8977340000001</v>
      </c>
      <c r="K356" s="45">
        <f t="shared" si="80"/>
        <v>0</v>
      </c>
      <c r="L356" s="45">
        <f t="shared" si="80"/>
        <v>2.6428400000000001</v>
      </c>
      <c r="M356" s="45">
        <f t="shared" si="80"/>
        <v>-72.428411999999994</v>
      </c>
      <c r="N356" s="48">
        <f t="shared" si="80"/>
        <v>0</v>
      </c>
      <c r="O356" s="45">
        <f t="shared" si="80"/>
        <v>-72.428411999999994</v>
      </c>
      <c r="P356" s="49"/>
      <c r="Q356" s="49"/>
      <c r="R356" s="50"/>
      <c r="S356" s="49"/>
      <c r="T356" s="51">
        <f>SUM(T354:T355)</f>
        <v>3509</v>
      </c>
    </row>
    <row r="357" spans="2:20" ht="15.6" x14ac:dyDescent="0.3">
      <c r="B357" s="56"/>
      <c r="C357" s="56"/>
      <c r="D357" s="58"/>
      <c r="E357" s="59"/>
      <c r="F357" s="60"/>
      <c r="G357" s="40"/>
      <c r="H357" s="61"/>
      <c r="I357" s="60"/>
      <c r="J357" s="60"/>
      <c r="K357" s="60"/>
      <c r="L357" s="60"/>
      <c r="M357" s="60"/>
      <c r="N357" s="61"/>
      <c r="O357" s="60"/>
      <c r="P357" s="62"/>
      <c r="Q357" s="62"/>
      <c r="R357" s="63"/>
      <c r="S357" s="62"/>
      <c r="T357" s="64"/>
    </row>
    <row r="358" spans="2:20" ht="15.6" x14ac:dyDescent="0.3">
      <c r="B358" s="56"/>
      <c r="C358" s="56"/>
      <c r="D358" s="58"/>
      <c r="E358" s="59"/>
      <c r="F358" s="60"/>
      <c r="G358" s="40"/>
      <c r="H358" s="61"/>
      <c r="I358" s="60"/>
      <c r="J358" s="60"/>
      <c r="K358" s="60"/>
      <c r="L358" s="60"/>
      <c r="M358" s="60"/>
      <c r="N358" s="61"/>
      <c r="O358" s="60"/>
      <c r="P358" s="62"/>
      <c r="Q358" s="62"/>
      <c r="R358" s="63"/>
      <c r="S358" s="62"/>
      <c r="T358" s="64"/>
    </row>
    <row r="359" spans="2:20" ht="18" x14ac:dyDescent="0.35">
      <c r="B359" s="25"/>
      <c r="C359" s="29">
        <v>14</v>
      </c>
      <c r="D359" s="29" t="s">
        <v>547</v>
      </c>
      <c r="E359" s="55"/>
      <c r="F359" s="55"/>
      <c r="G359" s="40"/>
      <c r="H359" s="41"/>
      <c r="I359" s="27"/>
      <c r="J359" s="27"/>
      <c r="K359" s="27"/>
      <c r="L359" s="27"/>
      <c r="M359" s="27"/>
      <c r="N359" s="42"/>
      <c r="O359" s="27"/>
      <c r="P359" s="27"/>
      <c r="Q359" s="27"/>
      <c r="R359" s="42"/>
      <c r="S359" s="27"/>
      <c r="T359" s="27"/>
    </row>
    <row r="360" spans="2:20" ht="15.6" x14ac:dyDescent="0.3">
      <c r="B360" s="56"/>
      <c r="C360" s="56"/>
      <c r="D360" s="58"/>
      <c r="E360" s="59"/>
      <c r="F360" s="60"/>
      <c r="G360" s="40"/>
      <c r="H360" s="61"/>
      <c r="I360" s="60"/>
      <c r="J360" s="60"/>
      <c r="K360" s="60"/>
      <c r="L360" s="60"/>
      <c r="M360" s="60"/>
      <c r="N360" s="61"/>
      <c r="O360" s="60"/>
      <c r="P360" s="62"/>
      <c r="Q360" s="62"/>
      <c r="R360" s="63"/>
      <c r="S360" s="62"/>
      <c r="T360" s="64"/>
    </row>
    <row r="361" spans="2:20" ht="15.6" x14ac:dyDescent="0.3">
      <c r="B361" s="30">
        <v>1</v>
      </c>
      <c r="C361" s="30" t="s">
        <v>548</v>
      </c>
      <c r="D361" s="31" t="s">
        <v>549</v>
      </c>
      <c r="E361" s="32">
        <v>45565</v>
      </c>
      <c r="F361" s="33">
        <v>173.62299999999999</v>
      </c>
      <c r="G361" s="34">
        <v>10</v>
      </c>
      <c r="H361" s="35">
        <f t="shared" ref="H361:H384" si="81">+F361/G361</f>
        <v>17.362299999999998</v>
      </c>
      <c r="I361" s="33">
        <v>8001.232</v>
      </c>
      <c r="J361" s="33">
        <v>12145.945</v>
      </c>
      <c r="K361" s="33">
        <v>16507.771000000001</v>
      </c>
      <c r="L361" s="33">
        <v>508.923</v>
      </c>
      <c r="M361" s="33">
        <v>1625.5909999999999</v>
      </c>
      <c r="N361" s="35">
        <f t="shared" ref="N361:N384" si="82">+M361-O361</f>
        <v>74.908999999999878</v>
      </c>
      <c r="O361" s="33">
        <v>1550.682</v>
      </c>
      <c r="P361" s="36">
        <f>150+100+250</f>
        <v>500</v>
      </c>
      <c r="Q361" s="36">
        <v>0</v>
      </c>
      <c r="R361" s="37">
        <f t="shared" ref="R361:R384" si="83">SUM(P361:Q361)</f>
        <v>500</v>
      </c>
      <c r="S361" s="36"/>
      <c r="T361" s="38">
        <v>1107</v>
      </c>
    </row>
    <row r="362" spans="2:20" ht="15.6" x14ac:dyDescent="0.3">
      <c r="B362" s="30">
        <f>+B361+1</f>
        <v>2</v>
      </c>
      <c r="C362" s="30" t="s">
        <v>550</v>
      </c>
      <c r="D362" s="43" t="s">
        <v>551</v>
      </c>
      <c r="E362" s="32">
        <v>45565</v>
      </c>
      <c r="F362" s="33">
        <v>172.90961999999999</v>
      </c>
      <c r="G362" s="34">
        <v>10</v>
      </c>
      <c r="H362" s="35">
        <f t="shared" si="81"/>
        <v>17.290962</v>
      </c>
      <c r="I362" s="33">
        <v>5257.4952759999996</v>
      </c>
      <c r="J362" s="33">
        <v>10543.512258000001</v>
      </c>
      <c r="K362" s="33">
        <v>8055.2423920000001</v>
      </c>
      <c r="L362" s="33">
        <v>561.24302599999999</v>
      </c>
      <c r="M362" s="33">
        <v>106.537339</v>
      </c>
      <c r="N362" s="35">
        <f t="shared" si="82"/>
        <v>52.291645000000003</v>
      </c>
      <c r="O362" s="33">
        <v>54.245694</v>
      </c>
      <c r="P362" s="36">
        <v>15</v>
      </c>
      <c r="Q362" s="36">
        <v>0</v>
      </c>
      <c r="R362" s="37">
        <f t="shared" si="83"/>
        <v>15</v>
      </c>
      <c r="S362" s="36"/>
      <c r="T362" s="38"/>
    </row>
    <row r="363" spans="2:20" ht="15.6" x14ac:dyDescent="0.3">
      <c r="B363" s="30">
        <f t="shared" ref="B363:B381" si="84">+B362+1</f>
        <v>3</v>
      </c>
      <c r="C363" s="30" t="s">
        <v>552</v>
      </c>
      <c r="D363" s="31" t="s">
        <v>553</v>
      </c>
      <c r="E363" s="32">
        <v>45565</v>
      </c>
      <c r="F363" s="33">
        <v>792.61666000000002</v>
      </c>
      <c r="G363" s="34">
        <v>10</v>
      </c>
      <c r="H363" s="35">
        <f t="shared" si="81"/>
        <v>79.261666000000005</v>
      </c>
      <c r="I363" s="33">
        <v>-645.54297199999996</v>
      </c>
      <c r="J363" s="33">
        <v>3331.5562030000001</v>
      </c>
      <c r="K363" s="33">
        <v>0</v>
      </c>
      <c r="L363" s="33">
        <v>195.26527400000001</v>
      </c>
      <c r="M363" s="33">
        <v>-222.498716</v>
      </c>
      <c r="N363" s="35">
        <f t="shared" si="82"/>
        <v>-30.965341999999993</v>
      </c>
      <c r="O363" s="33">
        <v>-191.53337400000001</v>
      </c>
      <c r="P363" s="36">
        <v>0</v>
      </c>
      <c r="Q363" s="36">
        <v>0</v>
      </c>
      <c r="R363" s="37">
        <f t="shared" si="83"/>
        <v>0</v>
      </c>
      <c r="S363" s="36"/>
      <c r="T363" s="38">
        <v>1953</v>
      </c>
    </row>
    <row r="364" spans="2:20" ht="15.6" x14ac:dyDescent="0.3">
      <c r="B364" s="30">
        <f t="shared" si="84"/>
        <v>4</v>
      </c>
      <c r="C364" s="30" t="s">
        <v>554</v>
      </c>
      <c r="D364" s="31" t="s">
        <v>555</v>
      </c>
      <c r="E364" s="32">
        <v>45565</v>
      </c>
      <c r="F364" s="33">
        <v>204.73702</v>
      </c>
      <c r="G364" s="34">
        <v>10</v>
      </c>
      <c r="H364" s="35">
        <f t="shared" si="81"/>
        <v>20.473701999999999</v>
      </c>
      <c r="I364" s="33">
        <v>7022.482</v>
      </c>
      <c r="J364" s="33">
        <v>18203.3</v>
      </c>
      <c r="K364" s="33">
        <v>20736.291000000001</v>
      </c>
      <c r="L364" s="33">
        <v>1842.973</v>
      </c>
      <c r="M364" s="33">
        <v>168.38800000000001</v>
      </c>
      <c r="N364" s="35">
        <f t="shared" si="82"/>
        <v>213.471</v>
      </c>
      <c r="O364" s="33">
        <v>-45.082999999999998</v>
      </c>
      <c r="P364" s="36">
        <v>0</v>
      </c>
      <c r="Q364" s="36">
        <v>0</v>
      </c>
      <c r="R364" s="37">
        <f t="shared" si="83"/>
        <v>0</v>
      </c>
      <c r="S364" s="36"/>
      <c r="T364" s="38">
        <v>1156</v>
      </c>
    </row>
    <row r="365" spans="2:20" ht="15.6" x14ac:dyDescent="0.3">
      <c r="B365" s="30">
        <f t="shared" si="84"/>
        <v>5</v>
      </c>
      <c r="C365" s="30" t="s">
        <v>556</v>
      </c>
      <c r="D365" s="31" t="s">
        <v>557</v>
      </c>
      <c r="E365" s="32">
        <v>45565</v>
      </c>
      <c r="F365" s="33">
        <v>94.5</v>
      </c>
      <c r="G365" s="34">
        <v>10</v>
      </c>
      <c r="H365" s="35">
        <f t="shared" si="81"/>
        <v>9.4499999999999993</v>
      </c>
      <c r="I365" s="33">
        <v>2589.4802639999998</v>
      </c>
      <c r="J365" s="33">
        <v>6218.9617280000002</v>
      </c>
      <c r="K365" s="33">
        <v>5840.3219220000001</v>
      </c>
      <c r="L365" s="33">
        <v>757.53368899999998</v>
      </c>
      <c r="M365" s="33">
        <v>-623.41557999999998</v>
      </c>
      <c r="N365" s="35">
        <f t="shared" si="82"/>
        <v>-4.9046999999973195E-2</v>
      </c>
      <c r="O365" s="33">
        <v>-623.366533</v>
      </c>
      <c r="P365" s="36">
        <v>0</v>
      </c>
      <c r="Q365" s="36">
        <v>0</v>
      </c>
      <c r="R365" s="37">
        <f t="shared" si="83"/>
        <v>0</v>
      </c>
      <c r="S365" s="36"/>
      <c r="T365" s="38">
        <v>1090</v>
      </c>
    </row>
    <row r="366" spans="2:20" ht="15.6" x14ac:dyDescent="0.3">
      <c r="B366" s="30">
        <f t="shared" si="84"/>
        <v>6</v>
      </c>
      <c r="C366" s="30" t="s">
        <v>558</v>
      </c>
      <c r="D366" s="31" t="s">
        <v>559</v>
      </c>
      <c r="E366" s="32">
        <v>45565</v>
      </c>
      <c r="F366" s="33">
        <v>286.92</v>
      </c>
      <c r="G366" s="34">
        <v>10</v>
      </c>
      <c r="H366" s="35">
        <f t="shared" si="81"/>
        <v>28.692</v>
      </c>
      <c r="I366" s="33">
        <v>13142.237999999999</v>
      </c>
      <c r="J366" s="33">
        <v>31644.9</v>
      </c>
      <c r="K366" s="33">
        <v>32274.656999999999</v>
      </c>
      <c r="L366" s="33">
        <v>4072.5189999999998</v>
      </c>
      <c r="M366" s="33">
        <v>-4204.1909999999998</v>
      </c>
      <c r="N366" s="35">
        <f t="shared" si="82"/>
        <v>-1566.9429999999998</v>
      </c>
      <c r="O366" s="33">
        <v>-2637.248</v>
      </c>
      <c r="P366" s="36">
        <v>0</v>
      </c>
      <c r="Q366" s="36">
        <v>0</v>
      </c>
      <c r="R366" s="37">
        <f t="shared" si="83"/>
        <v>0</v>
      </c>
      <c r="S366" s="36"/>
      <c r="T366" s="38"/>
    </row>
    <row r="367" spans="2:20" ht="15.6" x14ac:dyDescent="0.3">
      <c r="B367" s="30">
        <f t="shared" si="84"/>
        <v>7</v>
      </c>
      <c r="C367" s="30" t="s">
        <v>560</v>
      </c>
      <c r="D367" s="31" t="s">
        <v>561</v>
      </c>
      <c r="E367" s="32">
        <v>45565</v>
      </c>
      <c r="F367" s="33">
        <v>250.06954999999999</v>
      </c>
      <c r="G367" s="34">
        <v>10</v>
      </c>
      <c r="H367" s="35">
        <f t="shared" si="81"/>
        <v>25.006954999999998</v>
      </c>
      <c r="I367" s="33">
        <v>1408.730683</v>
      </c>
      <c r="J367" s="33">
        <v>8928.7402729999994</v>
      </c>
      <c r="K367" s="33">
        <v>11143.054575</v>
      </c>
      <c r="L367" s="33">
        <v>1415.159128</v>
      </c>
      <c r="M367" s="33">
        <v>-1941.638152</v>
      </c>
      <c r="N367" s="35">
        <f t="shared" si="82"/>
        <v>-408.619598</v>
      </c>
      <c r="O367" s="33">
        <v>-1533.018554</v>
      </c>
      <c r="P367" s="36">
        <v>0</v>
      </c>
      <c r="Q367" s="36">
        <v>0</v>
      </c>
      <c r="R367" s="37">
        <f t="shared" si="83"/>
        <v>0</v>
      </c>
      <c r="S367" s="36">
        <v>58</v>
      </c>
      <c r="T367" s="38">
        <v>2002</v>
      </c>
    </row>
    <row r="368" spans="2:20" ht="15.6" x14ac:dyDescent="0.3">
      <c r="B368" s="30">
        <f t="shared" si="84"/>
        <v>8</v>
      </c>
      <c r="C368" s="30" t="s">
        <v>562</v>
      </c>
      <c r="D368" s="31" t="s">
        <v>563</v>
      </c>
      <c r="E368" s="32">
        <v>45565</v>
      </c>
      <c r="F368" s="33">
        <v>675</v>
      </c>
      <c r="G368" s="34">
        <v>5</v>
      </c>
      <c r="H368" s="35">
        <f t="shared" si="81"/>
        <v>135</v>
      </c>
      <c r="I368" s="33">
        <v>13173.093999999999</v>
      </c>
      <c r="J368" s="33">
        <v>19989.921999999999</v>
      </c>
      <c r="K368" s="33">
        <v>20624.09</v>
      </c>
      <c r="L368" s="33">
        <v>32.411999999999999</v>
      </c>
      <c r="M368" s="33">
        <v>2478.2249999999999</v>
      </c>
      <c r="N368" s="35">
        <f t="shared" si="82"/>
        <v>517.75199999999995</v>
      </c>
      <c r="O368" s="33">
        <v>1960.473</v>
      </c>
      <c r="P368" s="36">
        <v>120</v>
      </c>
      <c r="Q368" s="36">
        <v>0</v>
      </c>
      <c r="R368" s="37">
        <f t="shared" si="83"/>
        <v>120</v>
      </c>
      <c r="S368" s="36"/>
      <c r="T368" s="38">
        <v>4430</v>
      </c>
    </row>
    <row r="369" spans="2:20" ht="15.6" x14ac:dyDescent="0.3">
      <c r="B369" s="30">
        <f t="shared" si="84"/>
        <v>9</v>
      </c>
      <c r="C369" s="30" t="s">
        <v>564</v>
      </c>
      <c r="D369" s="31" t="s">
        <v>565</v>
      </c>
      <c r="E369" s="32">
        <v>45473</v>
      </c>
      <c r="F369" s="33">
        <v>200</v>
      </c>
      <c r="G369" s="34">
        <v>5</v>
      </c>
      <c r="H369" s="35">
        <f t="shared" si="81"/>
        <v>40</v>
      </c>
      <c r="I369" s="33">
        <v>949.41360399999996</v>
      </c>
      <c r="J369" s="33">
        <v>1315.6379549999999</v>
      </c>
      <c r="K369" s="33">
        <v>2340.4119799999999</v>
      </c>
      <c r="L369" s="33">
        <v>18.016325999999999</v>
      </c>
      <c r="M369" s="33">
        <v>-83.604483000000002</v>
      </c>
      <c r="N369" s="35">
        <f t="shared" si="82"/>
        <v>8.8291830000000004</v>
      </c>
      <c r="O369" s="33">
        <v>-92.433666000000002</v>
      </c>
      <c r="P369" s="36">
        <v>0</v>
      </c>
      <c r="Q369" s="36">
        <v>0</v>
      </c>
      <c r="R369" s="37">
        <f t="shared" si="83"/>
        <v>0</v>
      </c>
      <c r="S369" s="36"/>
      <c r="T369" s="38">
        <v>2259</v>
      </c>
    </row>
    <row r="370" spans="2:20" ht="15.6" x14ac:dyDescent="0.3">
      <c r="B370" s="30">
        <f t="shared" si="84"/>
        <v>10</v>
      </c>
      <c r="C370" s="30" t="s">
        <v>566</v>
      </c>
      <c r="D370" s="31" t="s">
        <v>567</v>
      </c>
      <c r="E370" s="32">
        <v>45565</v>
      </c>
      <c r="F370" s="33">
        <v>577.76661000000001</v>
      </c>
      <c r="G370" s="34">
        <v>10</v>
      </c>
      <c r="H370" s="35">
        <f t="shared" si="81"/>
        <v>57.776661000000004</v>
      </c>
      <c r="I370" s="33">
        <v>27002.437619</v>
      </c>
      <c r="J370" s="33">
        <v>70470.021047000002</v>
      </c>
      <c r="K370" s="33">
        <v>116049.865313</v>
      </c>
      <c r="L370" s="33">
        <v>7507.1996319999998</v>
      </c>
      <c r="M370" s="33">
        <v>16534.525046999999</v>
      </c>
      <c r="N370" s="35">
        <f t="shared" si="82"/>
        <v>3525.216316</v>
      </c>
      <c r="O370" s="33">
        <v>13009.308730999999</v>
      </c>
      <c r="P370" s="36">
        <f>200+300</f>
        <v>500</v>
      </c>
      <c r="Q370" s="36">
        <v>0</v>
      </c>
      <c r="R370" s="37">
        <f t="shared" si="83"/>
        <v>500</v>
      </c>
      <c r="S370" s="36"/>
      <c r="T370" s="38">
        <v>1267</v>
      </c>
    </row>
    <row r="371" spans="2:20" ht="15.6" x14ac:dyDescent="0.3">
      <c r="B371" s="30">
        <f t="shared" si="84"/>
        <v>11</v>
      </c>
      <c r="C371" s="30" t="s">
        <v>568</v>
      </c>
      <c r="D371" s="31" t="s">
        <v>569</v>
      </c>
      <c r="E371" s="32">
        <v>45565</v>
      </c>
      <c r="F371" s="33">
        <v>341.28453999999999</v>
      </c>
      <c r="G371" s="34">
        <v>10</v>
      </c>
      <c r="H371" s="35">
        <f t="shared" si="81"/>
        <v>34.128453999999998</v>
      </c>
      <c r="I371" s="33">
        <v>9341.9176860000007</v>
      </c>
      <c r="J371" s="33">
        <f>102770.529428+4066.646275</f>
        <v>106837.175703</v>
      </c>
      <c r="K371" s="33">
        <v>7996.4516110000004</v>
      </c>
      <c r="L371" s="33">
        <v>949.09432400000003</v>
      </c>
      <c r="M371" s="33">
        <v>-119.494062</v>
      </c>
      <c r="N371" s="35">
        <f t="shared" si="82"/>
        <v>-121.373892</v>
      </c>
      <c r="O371" s="33">
        <v>1.8798299999999999</v>
      </c>
      <c r="P371" s="36">
        <v>0</v>
      </c>
      <c r="Q371" s="36">
        <v>0</v>
      </c>
      <c r="R371" s="37">
        <f t="shared" si="83"/>
        <v>0</v>
      </c>
      <c r="S371" s="36"/>
      <c r="T371" s="38">
        <v>1230</v>
      </c>
    </row>
    <row r="372" spans="2:20" ht="15.6" x14ac:dyDescent="0.3">
      <c r="B372" s="30">
        <f t="shared" si="84"/>
        <v>12</v>
      </c>
      <c r="C372" s="30" t="s">
        <v>570</v>
      </c>
      <c r="D372" s="31" t="s">
        <v>571</v>
      </c>
      <c r="E372" s="32">
        <v>45565</v>
      </c>
      <c r="F372" s="33">
        <v>160.17500000000001</v>
      </c>
      <c r="G372" s="34">
        <v>10</v>
      </c>
      <c r="H372" s="35">
        <f t="shared" si="81"/>
        <v>16.017500000000002</v>
      </c>
      <c r="I372" s="33">
        <v>4064.9360000000001</v>
      </c>
      <c r="J372" s="33">
        <v>8789.3410000000003</v>
      </c>
      <c r="K372" s="33">
        <v>11363.646000000001</v>
      </c>
      <c r="L372" s="33">
        <v>568.47900000000004</v>
      </c>
      <c r="M372" s="33">
        <v>243.239</v>
      </c>
      <c r="N372" s="35">
        <f t="shared" si="82"/>
        <v>183.40600000000001</v>
      </c>
      <c r="O372" s="33">
        <v>59.832999999999998</v>
      </c>
      <c r="P372" s="36">
        <v>0</v>
      </c>
      <c r="Q372" s="36">
        <v>0</v>
      </c>
      <c r="R372" s="37">
        <f t="shared" si="83"/>
        <v>0</v>
      </c>
      <c r="S372" s="36"/>
      <c r="T372" s="38">
        <v>288</v>
      </c>
    </row>
    <row r="373" spans="2:20" ht="15.6" x14ac:dyDescent="0.3">
      <c r="B373" s="30">
        <f t="shared" si="84"/>
        <v>13</v>
      </c>
      <c r="C373" s="30" t="s">
        <v>572</v>
      </c>
      <c r="D373" s="31" t="s">
        <v>573</v>
      </c>
      <c r="E373" s="32">
        <v>45565</v>
      </c>
      <c r="F373" s="33">
        <v>665.57888000000003</v>
      </c>
      <c r="G373" s="34">
        <v>10</v>
      </c>
      <c r="H373" s="35">
        <f t="shared" si="81"/>
        <v>66.557888000000005</v>
      </c>
      <c r="I373" s="33">
        <v>2497.2330000000002</v>
      </c>
      <c r="J373" s="33">
        <v>13782.896000000001</v>
      </c>
      <c r="K373" s="33">
        <v>11969.725</v>
      </c>
      <c r="L373" s="33">
        <v>1858.395</v>
      </c>
      <c r="M373" s="33">
        <v>-2427.2130000000002</v>
      </c>
      <c r="N373" s="35">
        <f t="shared" si="82"/>
        <v>-205.76500000000033</v>
      </c>
      <c r="O373" s="33">
        <v>-2221.4479999999999</v>
      </c>
      <c r="P373" s="36">
        <v>0</v>
      </c>
      <c r="Q373" s="36">
        <v>0</v>
      </c>
      <c r="R373" s="37">
        <f t="shared" si="83"/>
        <v>0</v>
      </c>
      <c r="S373" s="33">
        <v>42.957000000000001</v>
      </c>
      <c r="T373" s="38">
        <v>2256</v>
      </c>
    </row>
    <row r="374" spans="2:20" ht="15.6" x14ac:dyDescent="0.3">
      <c r="B374" s="30">
        <f t="shared" si="84"/>
        <v>14</v>
      </c>
      <c r="C374" s="30" t="s">
        <v>574</v>
      </c>
      <c r="D374" s="31" t="s">
        <v>575</v>
      </c>
      <c r="E374" s="32">
        <v>45565</v>
      </c>
      <c r="F374" s="33">
        <v>749.27608999999995</v>
      </c>
      <c r="G374" s="34">
        <v>10</v>
      </c>
      <c r="H374" s="35">
        <f t="shared" si="81"/>
        <v>74.92760899999999</v>
      </c>
      <c r="I374" s="33">
        <v>2780.7372289999998</v>
      </c>
      <c r="J374" s="33">
        <v>7804.2595579999997</v>
      </c>
      <c r="K374" s="33">
        <v>10988.868256</v>
      </c>
      <c r="L374" s="33">
        <v>1253.0869049999999</v>
      </c>
      <c r="M374" s="33">
        <v>-849.87721299999998</v>
      </c>
      <c r="N374" s="35">
        <f t="shared" si="82"/>
        <v>-50.850459000000001</v>
      </c>
      <c r="O374" s="33">
        <v>-799.02675399999998</v>
      </c>
      <c r="P374" s="36">
        <f>10</f>
        <v>10</v>
      </c>
      <c r="Q374" s="36">
        <v>0</v>
      </c>
      <c r="R374" s="37">
        <f t="shared" si="83"/>
        <v>10</v>
      </c>
      <c r="S374" s="36"/>
      <c r="T374" s="38">
        <v>1685</v>
      </c>
    </row>
    <row r="375" spans="2:20" ht="15.6" x14ac:dyDescent="0.3">
      <c r="B375" s="30">
        <f t="shared" si="84"/>
        <v>15</v>
      </c>
      <c r="C375" s="30" t="s">
        <v>576</v>
      </c>
      <c r="D375" s="31" t="s">
        <v>577</v>
      </c>
      <c r="E375" s="32">
        <v>45565</v>
      </c>
      <c r="F375" s="33">
        <v>165.17456000000001</v>
      </c>
      <c r="G375" s="34">
        <v>10</v>
      </c>
      <c r="H375" s="35">
        <f t="shared" si="81"/>
        <v>16.517456000000003</v>
      </c>
      <c r="I375" s="33">
        <v>1400.981</v>
      </c>
      <c r="J375" s="33">
        <v>9075.9719999999998</v>
      </c>
      <c r="K375" s="33">
        <v>11326.384</v>
      </c>
      <c r="L375" s="33">
        <v>1099.288</v>
      </c>
      <c r="M375" s="33">
        <v>-479.91</v>
      </c>
      <c r="N375" s="35">
        <f t="shared" si="82"/>
        <v>138.69</v>
      </c>
      <c r="O375" s="33">
        <v>-618.6</v>
      </c>
      <c r="P375" s="36">
        <v>0</v>
      </c>
      <c r="Q375" s="36">
        <v>0</v>
      </c>
      <c r="R375" s="37">
        <f t="shared" si="83"/>
        <v>0</v>
      </c>
      <c r="S375" s="36"/>
      <c r="T375" s="38">
        <v>1707</v>
      </c>
    </row>
    <row r="376" spans="2:20" ht="15.6" x14ac:dyDescent="0.3">
      <c r="B376" s="30">
        <f t="shared" si="84"/>
        <v>16</v>
      </c>
      <c r="C376" s="30" t="s">
        <v>578</v>
      </c>
      <c r="D376" s="31" t="s">
        <v>579</v>
      </c>
      <c r="E376" s="32">
        <v>45565</v>
      </c>
      <c r="F376" s="33">
        <v>37.5</v>
      </c>
      <c r="G376" s="34">
        <v>10</v>
      </c>
      <c r="H376" s="35">
        <f t="shared" si="81"/>
        <v>3.75</v>
      </c>
      <c r="I376" s="33">
        <v>1867.9690000000001</v>
      </c>
      <c r="J376" s="33">
        <v>4096.4679999999998</v>
      </c>
      <c r="K376" s="33">
        <v>1404.393</v>
      </c>
      <c r="L376" s="33">
        <v>235.018</v>
      </c>
      <c r="M376" s="33">
        <v>-449.00599999999997</v>
      </c>
      <c r="N376" s="35">
        <f t="shared" si="82"/>
        <v>-275.89499999999998</v>
      </c>
      <c r="O376" s="33">
        <v>-173.11099999999999</v>
      </c>
      <c r="P376" s="36">
        <v>0</v>
      </c>
      <c r="Q376" s="36">
        <v>0</v>
      </c>
      <c r="R376" s="37">
        <f t="shared" si="83"/>
        <v>0</v>
      </c>
      <c r="S376" s="36"/>
      <c r="T376" s="38">
        <v>909</v>
      </c>
    </row>
    <row r="377" spans="2:20" ht="15.6" x14ac:dyDescent="0.3">
      <c r="B377" s="30">
        <f t="shared" si="84"/>
        <v>17</v>
      </c>
      <c r="C377" s="30" t="s">
        <v>580</v>
      </c>
      <c r="D377" s="31" t="s">
        <v>581</v>
      </c>
      <c r="E377" s="32">
        <v>45565</v>
      </c>
      <c r="F377" s="33">
        <v>119.46</v>
      </c>
      <c r="G377" s="34">
        <v>10</v>
      </c>
      <c r="H377" s="35">
        <f t="shared" si="81"/>
        <v>11.946</v>
      </c>
      <c r="I377" s="33">
        <v>1908.924</v>
      </c>
      <c r="J377" s="33">
        <v>5308.643</v>
      </c>
      <c r="K377" s="33">
        <v>5415.2939999999999</v>
      </c>
      <c r="L377" s="33">
        <v>251.34899999999999</v>
      </c>
      <c r="M377" s="33">
        <v>-159.708</v>
      </c>
      <c r="N377" s="35">
        <f t="shared" si="82"/>
        <v>-20.048000000000002</v>
      </c>
      <c r="O377" s="33">
        <v>-139.66</v>
      </c>
      <c r="P377" s="36">
        <v>0</v>
      </c>
      <c r="Q377" s="36">
        <v>0</v>
      </c>
      <c r="R377" s="37">
        <f t="shared" si="83"/>
        <v>0</v>
      </c>
      <c r="S377" s="36"/>
      <c r="T377" s="38">
        <v>1218</v>
      </c>
    </row>
    <row r="378" spans="2:20" ht="15.6" x14ac:dyDescent="0.3">
      <c r="B378" s="30">
        <f t="shared" si="84"/>
        <v>18</v>
      </c>
      <c r="C378" s="30" t="s">
        <v>582</v>
      </c>
      <c r="D378" s="31" t="s">
        <v>583</v>
      </c>
      <c r="E378" s="32">
        <v>45565</v>
      </c>
      <c r="F378" s="33">
        <v>104.25</v>
      </c>
      <c r="G378" s="34">
        <v>10</v>
      </c>
      <c r="H378" s="35">
        <f t="shared" si="81"/>
        <v>10.425000000000001</v>
      </c>
      <c r="I378" s="33">
        <v>3382.3750610000002</v>
      </c>
      <c r="J378" s="33">
        <v>6803.9528499999997</v>
      </c>
      <c r="K378" s="33">
        <v>5766.1810539999997</v>
      </c>
      <c r="L378" s="33">
        <v>572.75642700000003</v>
      </c>
      <c r="M378" s="33">
        <v>-500.37491599999998</v>
      </c>
      <c r="N378" s="35">
        <f t="shared" si="82"/>
        <v>-201.114214</v>
      </c>
      <c r="O378" s="33">
        <v>-299.26070199999998</v>
      </c>
      <c r="P378" s="36">
        <v>0</v>
      </c>
      <c r="Q378" s="36">
        <v>0</v>
      </c>
      <c r="R378" s="37">
        <f t="shared" si="83"/>
        <v>0</v>
      </c>
      <c r="S378" s="36"/>
      <c r="T378" s="38">
        <v>1704</v>
      </c>
    </row>
    <row r="379" spans="2:20" ht="15.6" x14ac:dyDescent="0.3">
      <c r="B379" s="30">
        <f t="shared" si="84"/>
        <v>19</v>
      </c>
      <c r="C379" s="30" t="s">
        <v>584</v>
      </c>
      <c r="D379" s="31" t="s">
        <v>585</v>
      </c>
      <c r="E379" s="32">
        <v>45565</v>
      </c>
      <c r="F379" s="33">
        <v>120.111</v>
      </c>
      <c r="G379" s="34">
        <v>10</v>
      </c>
      <c r="H379" s="35">
        <f t="shared" si="81"/>
        <v>12.011100000000001</v>
      </c>
      <c r="I379" s="33">
        <v>3307.248</v>
      </c>
      <c r="J379" s="33">
        <v>8527.1419999999998</v>
      </c>
      <c r="K379" s="33">
        <v>8821.018</v>
      </c>
      <c r="L379" s="33">
        <v>644.72400000000005</v>
      </c>
      <c r="M379" s="33">
        <v>-177.95400000000001</v>
      </c>
      <c r="N379" s="35">
        <f t="shared" si="82"/>
        <v>-210.09900000000002</v>
      </c>
      <c r="O379" s="33">
        <v>32.145000000000003</v>
      </c>
      <c r="P379" s="36">
        <v>0</v>
      </c>
      <c r="Q379" s="36">
        <v>0</v>
      </c>
      <c r="R379" s="37">
        <f t="shared" si="83"/>
        <v>0</v>
      </c>
      <c r="S379" s="36"/>
      <c r="T379" s="38">
        <v>697</v>
      </c>
    </row>
    <row r="380" spans="2:20" ht="15.6" x14ac:dyDescent="0.3">
      <c r="B380" s="30">
        <f t="shared" si="84"/>
        <v>20</v>
      </c>
      <c r="C380" s="30" t="s">
        <v>586</v>
      </c>
      <c r="D380" s="31" t="s">
        <v>587</v>
      </c>
      <c r="E380" s="32">
        <v>45565</v>
      </c>
      <c r="F380" s="33">
        <v>211.18663000000001</v>
      </c>
      <c r="G380" s="34">
        <v>10</v>
      </c>
      <c r="H380" s="35">
        <f t="shared" si="81"/>
        <v>21.118663000000002</v>
      </c>
      <c r="I380" s="33">
        <v>11720.496999999999</v>
      </c>
      <c r="J380" s="33">
        <v>21835.495999999999</v>
      </c>
      <c r="K380" s="33">
        <v>25737.192999999999</v>
      </c>
      <c r="L380" s="33">
        <v>1650.038</v>
      </c>
      <c r="M380" s="33">
        <v>84.480999999999995</v>
      </c>
      <c r="N380" s="35">
        <f t="shared" si="82"/>
        <v>32.080999999999996</v>
      </c>
      <c r="O380" s="33">
        <v>52.4</v>
      </c>
      <c r="P380" s="36">
        <v>0</v>
      </c>
      <c r="Q380" s="36">
        <v>0</v>
      </c>
      <c r="R380" s="37">
        <f t="shared" si="83"/>
        <v>0</v>
      </c>
      <c r="S380" s="36"/>
      <c r="T380" s="38">
        <v>2267</v>
      </c>
    </row>
    <row r="381" spans="2:20" ht="15.6" x14ac:dyDescent="0.3">
      <c r="B381" s="30">
        <f t="shared" si="84"/>
        <v>21</v>
      </c>
      <c r="C381" s="30" t="s">
        <v>588</v>
      </c>
      <c r="D381" s="43" t="s">
        <v>589</v>
      </c>
      <c r="E381" s="32">
        <v>45565</v>
      </c>
      <c r="F381" s="33">
        <v>662.0625</v>
      </c>
      <c r="G381" s="34">
        <v>10</v>
      </c>
      <c r="H381" s="35">
        <f t="shared" si="81"/>
        <v>66.206249999999997</v>
      </c>
      <c r="I381" s="33">
        <v>3771.5187329999999</v>
      </c>
      <c r="J381" s="33">
        <v>8447.1756179999993</v>
      </c>
      <c r="K381" s="33">
        <v>6876.5052610000002</v>
      </c>
      <c r="L381" s="33">
        <v>277.56704000000002</v>
      </c>
      <c r="M381" s="33">
        <v>-309.18278099999998</v>
      </c>
      <c r="N381" s="35">
        <f t="shared" si="82"/>
        <v>-330.30774099999996</v>
      </c>
      <c r="O381" s="33">
        <v>21.124960000000002</v>
      </c>
      <c r="P381" s="36">
        <v>0</v>
      </c>
      <c r="Q381" s="36">
        <v>0</v>
      </c>
      <c r="R381" s="37">
        <f t="shared" si="83"/>
        <v>0</v>
      </c>
      <c r="S381" s="36">
        <v>25</v>
      </c>
      <c r="T381" s="38">
        <v>957</v>
      </c>
    </row>
    <row r="382" spans="2:20" ht="15.6" x14ac:dyDescent="0.3">
      <c r="B382" s="30"/>
      <c r="C382" s="30" t="s">
        <v>590</v>
      </c>
      <c r="D382" s="43" t="s">
        <v>591</v>
      </c>
      <c r="E382" s="32">
        <v>45565</v>
      </c>
      <c r="F382" s="33"/>
      <c r="G382" s="34">
        <v>10</v>
      </c>
      <c r="H382" s="35">
        <f t="shared" si="81"/>
        <v>0</v>
      </c>
      <c r="I382" s="33"/>
      <c r="J382" s="33"/>
      <c r="K382" s="33"/>
      <c r="L382" s="33"/>
      <c r="M382" s="33"/>
      <c r="N382" s="35">
        <f t="shared" si="82"/>
        <v>0</v>
      </c>
      <c r="O382" s="33"/>
      <c r="P382" s="36"/>
      <c r="Q382" s="36"/>
      <c r="R382" s="37">
        <f t="shared" si="83"/>
        <v>0</v>
      </c>
      <c r="S382" s="36"/>
      <c r="T382" s="38"/>
    </row>
    <row r="383" spans="2:20" ht="15.6" x14ac:dyDescent="0.3">
      <c r="B383" s="30">
        <f>+B381+1</f>
        <v>22</v>
      </c>
      <c r="C383" s="30" t="s">
        <v>592</v>
      </c>
      <c r="D383" s="31" t="s">
        <v>593</v>
      </c>
      <c r="E383" s="32">
        <v>45565</v>
      </c>
      <c r="F383" s="33">
        <v>150.232</v>
      </c>
      <c r="G383" s="34">
        <v>10</v>
      </c>
      <c r="H383" s="35">
        <f t="shared" si="81"/>
        <v>15.023199999999999</v>
      </c>
      <c r="I383" s="33">
        <f>9730.856808+478.6</f>
        <v>10209.456808000001</v>
      </c>
      <c r="J383" s="33">
        <v>27821.090947000001</v>
      </c>
      <c r="K383" s="33">
        <v>28611.252116</v>
      </c>
      <c r="L383" s="33">
        <v>2890.1304319999999</v>
      </c>
      <c r="M383" s="33">
        <v>1068.812426</v>
      </c>
      <c r="N383" s="35">
        <f t="shared" si="82"/>
        <v>-67.158045000000129</v>
      </c>
      <c r="O383" s="33">
        <v>1135.9704710000001</v>
      </c>
      <c r="P383" s="36">
        <v>25</v>
      </c>
      <c r="Q383" s="36">
        <v>0</v>
      </c>
      <c r="R383" s="37">
        <f t="shared" si="83"/>
        <v>25</v>
      </c>
      <c r="S383" s="36"/>
      <c r="T383" s="38">
        <v>1007</v>
      </c>
    </row>
    <row r="384" spans="2:20" ht="15.6" x14ac:dyDescent="0.3">
      <c r="B384" s="30">
        <f t="shared" ref="B384" si="85">+B383+1</f>
        <v>23</v>
      </c>
      <c r="C384" s="30" t="s">
        <v>594</v>
      </c>
      <c r="D384" s="31" t="s">
        <v>595</v>
      </c>
      <c r="E384" s="32">
        <v>45565</v>
      </c>
      <c r="F384" s="33">
        <v>1177.0630000000001</v>
      </c>
      <c r="G384" s="34">
        <v>10</v>
      </c>
      <c r="H384" s="35">
        <f t="shared" si="81"/>
        <v>117.70630000000001</v>
      </c>
      <c r="I384" s="33">
        <v>13712.146117</v>
      </c>
      <c r="J384" s="33">
        <v>41558.688391000003</v>
      </c>
      <c r="K384" s="33">
        <v>38311.576292999998</v>
      </c>
      <c r="L384" s="33">
        <v>3607.3172960000002</v>
      </c>
      <c r="M384" s="33">
        <v>1831.018683</v>
      </c>
      <c r="N384" s="35">
        <f t="shared" si="82"/>
        <v>748.35317499999996</v>
      </c>
      <c r="O384" s="33">
        <v>1082.665508</v>
      </c>
      <c r="P384" s="36">
        <v>0</v>
      </c>
      <c r="Q384" s="36">
        <v>0</v>
      </c>
      <c r="R384" s="37">
        <f t="shared" si="83"/>
        <v>0</v>
      </c>
      <c r="S384" s="36"/>
      <c r="T384" s="38">
        <v>737</v>
      </c>
    </row>
    <row r="385" spans="2:20" ht="15.6" x14ac:dyDescent="0.3">
      <c r="B385" s="56"/>
      <c r="C385" s="56"/>
      <c r="D385" s="58"/>
      <c r="E385" s="59"/>
      <c r="F385" s="60"/>
      <c r="G385" s="40"/>
      <c r="H385" s="61"/>
      <c r="I385" s="60"/>
      <c r="J385" s="60"/>
      <c r="K385" s="60"/>
      <c r="L385" s="60"/>
      <c r="M385" s="60"/>
      <c r="N385" s="61"/>
      <c r="O385" s="60"/>
      <c r="P385" s="62"/>
      <c r="Q385" s="62"/>
      <c r="R385" s="63"/>
      <c r="S385" s="62"/>
      <c r="T385" s="64"/>
    </row>
    <row r="386" spans="2:20" ht="18" x14ac:dyDescent="0.35">
      <c r="B386" s="25"/>
      <c r="C386" s="25"/>
      <c r="D386" s="53" t="s">
        <v>1127</v>
      </c>
      <c r="E386" s="25"/>
      <c r="F386" s="25"/>
      <c r="G386" s="40"/>
      <c r="H386" s="41"/>
      <c r="I386" s="27"/>
      <c r="J386" s="27"/>
      <c r="K386" s="27"/>
      <c r="L386" s="27"/>
      <c r="M386" s="27"/>
      <c r="N386" s="42"/>
      <c r="O386" s="27"/>
      <c r="P386" s="27"/>
      <c r="Q386" s="27"/>
      <c r="R386" s="42"/>
      <c r="S386" s="27"/>
      <c r="T386" s="27"/>
    </row>
    <row r="388" spans="2:20" ht="15.6" x14ac:dyDescent="0.3">
      <c r="B388" s="30">
        <v>1</v>
      </c>
      <c r="C388" s="30" t="s">
        <v>596</v>
      </c>
      <c r="D388" s="31" t="s">
        <v>597</v>
      </c>
      <c r="E388" s="32">
        <v>45565</v>
      </c>
      <c r="F388" s="33">
        <v>561.36657000000002</v>
      </c>
      <c r="G388" s="34">
        <v>10</v>
      </c>
      <c r="H388" s="35">
        <f>+F388/G388</f>
        <v>56.136657</v>
      </c>
      <c r="I388" s="33"/>
      <c r="J388" s="33"/>
      <c r="K388" s="33"/>
      <c r="L388" s="33"/>
      <c r="M388" s="33">
        <v>-1.994</v>
      </c>
      <c r="N388" s="35">
        <f>+M388-O388</f>
        <v>856.96899999999994</v>
      </c>
      <c r="O388" s="33">
        <v>-858.96299999999997</v>
      </c>
      <c r="P388" s="36">
        <v>0</v>
      </c>
      <c r="Q388" s="36">
        <v>0</v>
      </c>
      <c r="R388" s="37">
        <f>SUM(P388:Q388)</f>
        <v>0</v>
      </c>
      <c r="S388" s="36"/>
      <c r="T388" s="38"/>
    </row>
    <row r="389" spans="2:20" ht="15.6" x14ac:dyDescent="0.3">
      <c r="B389" s="30">
        <f t="shared" ref="B389:B392" si="86">+B388+1</f>
        <v>2</v>
      </c>
      <c r="C389" s="30" t="s">
        <v>598</v>
      </c>
      <c r="D389" s="31" t="s">
        <v>599</v>
      </c>
      <c r="E389" s="32">
        <v>45565</v>
      </c>
      <c r="F389" s="33">
        <v>915.11991999999998</v>
      </c>
      <c r="G389" s="34">
        <v>10</v>
      </c>
      <c r="H389" s="35">
        <f>+F389/G389</f>
        <v>91.511991999999992</v>
      </c>
      <c r="I389" s="33">
        <v>-661.44095400000003</v>
      </c>
      <c r="J389" s="33">
        <v>9010.6289429999997</v>
      </c>
      <c r="K389" s="33">
        <v>2483.411983</v>
      </c>
      <c r="L389" s="33">
        <v>66.819719000000006</v>
      </c>
      <c r="M389" s="33">
        <v>-693.11678400000005</v>
      </c>
      <c r="N389" s="35">
        <f>+M389-O389</f>
        <v>-84.18452400000001</v>
      </c>
      <c r="O389" s="33">
        <v>-608.93226000000004</v>
      </c>
      <c r="P389" s="36">
        <v>0</v>
      </c>
      <c r="Q389" s="36">
        <v>0</v>
      </c>
      <c r="R389" s="37">
        <f>SUM(P389:Q389)</f>
        <v>0</v>
      </c>
      <c r="S389" s="36"/>
      <c r="T389" s="38">
        <v>1905</v>
      </c>
    </row>
    <row r="390" spans="2:20" ht="15.6" x14ac:dyDescent="0.3">
      <c r="B390" s="30">
        <f t="shared" si="86"/>
        <v>3</v>
      </c>
      <c r="C390" s="30" t="s">
        <v>600</v>
      </c>
      <c r="D390" s="31" t="s">
        <v>601</v>
      </c>
      <c r="E390" s="32">
        <v>45565</v>
      </c>
      <c r="F390" s="33">
        <v>324</v>
      </c>
      <c r="G390" s="34">
        <v>10</v>
      </c>
      <c r="H390" s="35">
        <f>+F390/G390</f>
        <v>32.4</v>
      </c>
      <c r="I390" s="33">
        <v>502.58687400000002</v>
      </c>
      <c r="J390" s="33">
        <v>6086.5120569999999</v>
      </c>
      <c r="K390" s="33">
        <v>0</v>
      </c>
      <c r="L390" s="33">
        <v>7.8691999999999998E-2</v>
      </c>
      <c r="M390" s="33">
        <v>-370.45271700000001</v>
      </c>
      <c r="N390" s="35">
        <f>+M390-O390</f>
        <v>-73.606589999999983</v>
      </c>
      <c r="O390" s="33">
        <v>-296.84612700000002</v>
      </c>
      <c r="P390" s="36">
        <v>0</v>
      </c>
      <c r="Q390" s="36">
        <v>0</v>
      </c>
      <c r="R390" s="37">
        <f>SUM(P390:Q390)</f>
        <v>0</v>
      </c>
      <c r="S390" s="36"/>
      <c r="T390" s="38">
        <v>1197</v>
      </c>
    </row>
    <row r="391" spans="2:20" ht="15.6" x14ac:dyDescent="0.3">
      <c r="B391" s="30">
        <f t="shared" si="86"/>
        <v>4</v>
      </c>
      <c r="C391" s="30" t="s">
        <v>602</v>
      </c>
      <c r="D391" s="43" t="s">
        <v>603</v>
      </c>
      <c r="E391" s="32">
        <v>45565</v>
      </c>
      <c r="F391" s="33">
        <v>446.16</v>
      </c>
      <c r="G391" s="34">
        <v>10</v>
      </c>
      <c r="H391" s="35">
        <f>+F391/G391</f>
        <v>44.616</v>
      </c>
      <c r="I391" s="33">
        <v>750.61</v>
      </c>
      <c r="J391" s="33">
        <v>4222.509</v>
      </c>
      <c r="K391" s="33">
        <v>3335.74</v>
      </c>
      <c r="L391" s="33">
        <v>49.613999999999997</v>
      </c>
      <c r="M391" s="33">
        <v>-247.74100000000001</v>
      </c>
      <c r="N391" s="35">
        <f>+M391-O391</f>
        <v>-1.7510000000000048</v>
      </c>
      <c r="O391" s="33">
        <v>-245.99</v>
      </c>
      <c r="P391" s="36">
        <v>0</v>
      </c>
      <c r="Q391" s="36">
        <v>0</v>
      </c>
      <c r="R391" s="37">
        <f>SUM(P391:Q391)</f>
        <v>0</v>
      </c>
      <c r="S391" s="36"/>
      <c r="T391" s="38">
        <v>2301</v>
      </c>
    </row>
    <row r="392" spans="2:20" ht="15.6" x14ac:dyDescent="0.3">
      <c r="B392" s="30">
        <f t="shared" si="86"/>
        <v>5</v>
      </c>
      <c r="C392" s="30" t="s">
        <v>604</v>
      </c>
      <c r="D392" s="31" t="s">
        <v>605</v>
      </c>
      <c r="E392" s="32">
        <v>45565</v>
      </c>
      <c r="F392" s="33">
        <v>1250</v>
      </c>
      <c r="G392" s="34">
        <v>10</v>
      </c>
      <c r="H392" s="35">
        <f>+F392/G392</f>
        <v>125</v>
      </c>
      <c r="I392" s="33">
        <v>6752.5990000000002</v>
      </c>
      <c r="J392" s="33">
        <v>17507.831999999999</v>
      </c>
      <c r="K392" s="33">
        <v>8831.7790000000005</v>
      </c>
      <c r="L392" s="33">
        <v>376.55700000000002</v>
      </c>
      <c r="M392" s="33">
        <v>-3183.8139999999999</v>
      </c>
      <c r="N392" s="35">
        <f>+M392-O392</f>
        <v>-126.36999999999989</v>
      </c>
      <c r="O392" s="33">
        <v>-3057.444</v>
      </c>
      <c r="P392" s="36">
        <v>0</v>
      </c>
      <c r="Q392" s="36">
        <v>0</v>
      </c>
      <c r="R392" s="37">
        <f>SUM(P392:Q392)</f>
        <v>0</v>
      </c>
      <c r="S392" s="36"/>
      <c r="T392" s="38">
        <v>1365</v>
      </c>
    </row>
    <row r="393" spans="2:20" ht="15.6" x14ac:dyDescent="0.3">
      <c r="B393" s="56"/>
      <c r="C393" s="56"/>
      <c r="D393" s="58"/>
      <c r="E393" s="59"/>
      <c r="F393" s="60"/>
      <c r="G393" s="40"/>
      <c r="H393" s="61"/>
      <c r="I393" s="60"/>
      <c r="J393" s="60"/>
      <c r="K393" s="60"/>
      <c r="L393" s="60"/>
      <c r="M393" s="60"/>
      <c r="N393" s="61"/>
      <c r="O393" s="60"/>
      <c r="P393" s="62"/>
      <c r="Q393" s="62"/>
      <c r="R393" s="63"/>
      <c r="S393" s="62"/>
      <c r="T393" s="64"/>
    </row>
    <row r="394" spans="2:20" ht="15.6" x14ac:dyDescent="0.3">
      <c r="B394" s="44">
        <f>COUNT(B361:B393)</f>
        <v>28</v>
      </c>
      <c r="C394" s="44"/>
      <c r="D394" s="45"/>
      <c r="E394" s="45"/>
      <c r="F394" s="45">
        <f>SUM(F361:F393)</f>
        <v>11588.14315</v>
      </c>
      <c r="G394" s="46"/>
      <c r="H394" s="47">
        <f t="shared" ref="H394:O394" si="87">SUM(H361:H393)</f>
        <v>1246.3143150000001</v>
      </c>
      <c r="I394" s="45">
        <f t="shared" si="87"/>
        <v>155211.35502799999</v>
      </c>
      <c r="J394" s="45">
        <f t="shared" si="87"/>
        <v>490308.27953100001</v>
      </c>
      <c r="K394" s="45">
        <f t="shared" si="87"/>
        <v>422811.1237559999</v>
      </c>
      <c r="L394" s="45">
        <f t="shared" si="87"/>
        <v>33261.556910000007</v>
      </c>
      <c r="M394" s="45">
        <f t="shared" si="87"/>
        <v>7095.6310909999993</v>
      </c>
      <c r="N394" s="48">
        <f t="shared" si="87"/>
        <v>2576.8678669999995</v>
      </c>
      <c r="O394" s="45">
        <f t="shared" si="87"/>
        <v>4518.7632240000003</v>
      </c>
      <c r="P394" s="49"/>
      <c r="Q394" s="49"/>
      <c r="R394" s="50"/>
      <c r="S394" s="49"/>
      <c r="T394" s="51">
        <f>SUM(T361:T393)</f>
        <v>38694</v>
      </c>
    </row>
    <row r="395" spans="2:20" ht="15.6" x14ac:dyDescent="0.3">
      <c r="B395" s="56"/>
      <c r="C395" s="56"/>
      <c r="D395" s="58"/>
      <c r="E395" s="59"/>
      <c r="F395" s="60"/>
      <c r="G395" s="40"/>
      <c r="H395" s="61"/>
      <c r="I395" s="60"/>
      <c r="J395" s="60"/>
      <c r="K395" s="60"/>
      <c r="L395" s="60"/>
      <c r="M395" s="60"/>
      <c r="N395" s="61"/>
      <c r="O395" s="60"/>
      <c r="P395" s="62"/>
      <c r="Q395" s="62"/>
      <c r="R395" s="63"/>
      <c r="S395" s="62"/>
      <c r="T395" s="64"/>
    </row>
    <row r="396" spans="2:20" ht="15.6" x14ac:dyDescent="0.3">
      <c r="B396" s="56"/>
      <c r="C396" s="56"/>
      <c r="D396" s="58"/>
      <c r="E396" s="59"/>
      <c r="F396" s="60"/>
      <c r="G396" s="40"/>
      <c r="H396" s="61"/>
      <c r="I396" s="60"/>
      <c r="J396" s="60"/>
      <c r="K396" s="60"/>
      <c r="L396" s="60"/>
      <c r="M396" s="60"/>
      <c r="N396" s="61"/>
      <c r="O396" s="60"/>
      <c r="P396" s="62"/>
      <c r="Q396" s="62"/>
      <c r="R396" s="63"/>
      <c r="S396" s="62"/>
      <c r="T396" s="64"/>
    </row>
    <row r="397" spans="2:20" ht="18" x14ac:dyDescent="0.35">
      <c r="B397" s="25"/>
      <c r="C397" s="29">
        <v>15</v>
      </c>
      <c r="D397" s="29" t="s">
        <v>606</v>
      </c>
      <c r="E397" s="55"/>
      <c r="F397" s="55"/>
      <c r="G397" s="40"/>
      <c r="H397" s="41"/>
      <c r="I397" s="27"/>
      <c r="J397" s="27"/>
      <c r="K397" s="27"/>
      <c r="L397" s="27"/>
      <c r="M397" s="27"/>
      <c r="N397" s="42"/>
      <c r="O397" s="27"/>
      <c r="P397" s="27"/>
      <c r="Q397" s="27"/>
      <c r="R397" s="42"/>
      <c r="S397" s="27"/>
      <c r="T397" s="27"/>
    </row>
    <row r="398" spans="2:20" ht="15.6" x14ac:dyDescent="0.3">
      <c r="B398" s="56"/>
      <c r="C398" s="56"/>
      <c r="D398" s="58"/>
      <c r="E398" s="59"/>
      <c r="F398" s="60"/>
      <c r="G398" s="40"/>
      <c r="H398" s="61"/>
      <c r="I398" s="60"/>
      <c r="J398" s="60"/>
      <c r="K398" s="60"/>
      <c r="L398" s="60"/>
      <c r="M398" s="60"/>
      <c r="N398" s="61"/>
      <c r="O398" s="60"/>
      <c r="P398" s="62"/>
      <c r="Q398" s="62"/>
      <c r="R398" s="63"/>
      <c r="S398" s="62"/>
      <c r="T398" s="64"/>
    </row>
    <row r="399" spans="2:20" ht="15.6" x14ac:dyDescent="0.3">
      <c r="B399" s="30">
        <v>1</v>
      </c>
      <c r="C399" s="30" t="s">
        <v>607</v>
      </c>
      <c r="D399" s="31" t="s">
        <v>608</v>
      </c>
      <c r="E399" s="32">
        <v>45473</v>
      </c>
      <c r="F399" s="33">
        <v>1374.2696100000001</v>
      </c>
      <c r="G399" s="34">
        <v>10</v>
      </c>
      <c r="H399" s="35">
        <f t="shared" ref="H399:H416" si="88">+F399/G399</f>
        <v>137.42696100000001</v>
      </c>
      <c r="I399" s="33">
        <v>21516.643</v>
      </c>
      <c r="J399" s="33">
        <v>53174.029000000002</v>
      </c>
      <c r="K399" s="33">
        <v>28536.527999999998</v>
      </c>
      <c r="L399" s="33">
        <v>339.87799999999999</v>
      </c>
      <c r="M399" s="33">
        <v>5831.1620000000003</v>
      </c>
      <c r="N399" s="35">
        <f t="shared" ref="N399:N416" si="89">+M399-O399</f>
        <v>2264.6400000000003</v>
      </c>
      <c r="O399" s="33">
        <v>3566.5219999999999</v>
      </c>
      <c r="P399" s="36">
        <f>25+40</f>
        <v>65</v>
      </c>
      <c r="Q399" s="36">
        <v>0</v>
      </c>
      <c r="R399" s="37">
        <f t="shared" ref="R399:R416" si="90">SUM(P399:Q399)</f>
        <v>65</v>
      </c>
      <c r="S399" s="36"/>
      <c r="T399" s="38">
        <v>2354</v>
      </c>
    </row>
    <row r="400" spans="2:20" ht="15.6" x14ac:dyDescent="0.3">
      <c r="B400" s="30">
        <f>+B399+1</f>
        <v>2</v>
      </c>
      <c r="C400" s="30" t="s">
        <v>609</v>
      </c>
      <c r="D400" s="31" t="s">
        <v>610</v>
      </c>
      <c r="E400" s="32">
        <v>45473</v>
      </c>
      <c r="F400" s="33">
        <f>596.252783*G400</f>
        <v>5962.52783</v>
      </c>
      <c r="G400" s="34">
        <v>10</v>
      </c>
      <c r="H400" s="35">
        <f t="shared" si="88"/>
        <v>596.25278300000002</v>
      </c>
      <c r="I400" s="33">
        <v>63059.978000000003</v>
      </c>
      <c r="J400" s="33">
        <v>167909.448</v>
      </c>
      <c r="K400" s="33">
        <v>103922.26300000001</v>
      </c>
      <c r="L400" s="33">
        <v>11212.392</v>
      </c>
      <c r="M400" s="33">
        <v>22377.304</v>
      </c>
      <c r="N400" s="35">
        <f t="shared" si="89"/>
        <v>8608.7289999999994</v>
      </c>
      <c r="O400" s="33">
        <v>13768.575000000001</v>
      </c>
      <c r="P400" s="36">
        <f>60+60+60+80</f>
        <v>260</v>
      </c>
      <c r="Q400" s="36">
        <v>0</v>
      </c>
      <c r="R400" s="37">
        <f t="shared" si="90"/>
        <v>260</v>
      </c>
      <c r="S400" s="36"/>
      <c r="T400" s="38">
        <v>8641</v>
      </c>
    </row>
    <row r="401" spans="2:20" ht="15.6" x14ac:dyDescent="0.3">
      <c r="B401" s="30">
        <f t="shared" ref="B401:B416" si="91">+B400+1</f>
        <v>3</v>
      </c>
      <c r="C401" s="30" t="s">
        <v>611</v>
      </c>
      <c r="D401" s="31" t="s">
        <v>612</v>
      </c>
      <c r="E401" s="32">
        <v>45473</v>
      </c>
      <c r="F401" s="33">
        <v>1942.95038</v>
      </c>
      <c r="G401" s="34">
        <v>10</v>
      </c>
      <c r="H401" s="35">
        <f t="shared" si="88"/>
        <v>194.29503800000001</v>
      </c>
      <c r="I401" s="33">
        <v>25542.929</v>
      </c>
      <c r="J401" s="33">
        <v>41034.052000000003</v>
      </c>
      <c r="K401" s="33">
        <v>38433.747000000003</v>
      </c>
      <c r="L401" s="33">
        <v>1381.0820000000001</v>
      </c>
      <c r="M401" s="33">
        <v>9130.69</v>
      </c>
      <c r="N401" s="35">
        <f t="shared" si="89"/>
        <v>3630.9390000000003</v>
      </c>
      <c r="O401" s="33">
        <v>5499.7510000000002</v>
      </c>
      <c r="P401" s="36">
        <f>15+40</f>
        <v>55</v>
      </c>
      <c r="Q401" s="36">
        <v>0</v>
      </c>
      <c r="R401" s="37">
        <f t="shared" si="90"/>
        <v>55</v>
      </c>
      <c r="S401" s="36"/>
      <c r="T401" s="38">
        <v>4740</v>
      </c>
    </row>
    <row r="402" spans="2:20" ht="15.6" x14ac:dyDescent="0.3">
      <c r="B402" s="30">
        <f t="shared" si="91"/>
        <v>4</v>
      </c>
      <c r="C402" s="30" t="s">
        <v>613</v>
      </c>
      <c r="D402" s="31" t="s">
        <v>614</v>
      </c>
      <c r="E402" s="32">
        <v>45473</v>
      </c>
      <c r="F402" s="33">
        <v>4841.1334299999999</v>
      </c>
      <c r="G402" s="34">
        <v>10</v>
      </c>
      <c r="H402" s="35">
        <f t="shared" si="88"/>
        <v>484.11334299999999</v>
      </c>
      <c r="I402" s="33">
        <v>26971.678</v>
      </c>
      <c r="J402" s="33">
        <v>48772.184999999998</v>
      </c>
      <c r="K402" s="33">
        <v>22319.081999999999</v>
      </c>
      <c r="L402" s="33">
        <v>21.09</v>
      </c>
      <c r="M402" s="33">
        <v>-890.56600000000003</v>
      </c>
      <c r="N402" s="35">
        <f t="shared" si="89"/>
        <v>-380.85400000000004</v>
      </c>
      <c r="O402" s="33">
        <v>-509.71199999999999</v>
      </c>
      <c r="P402" s="36">
        <v>0</v>
      </c>
      <c r="Q402" s="36">
        <v>0</v>
      </c>
      <c r="R402" s="37">
        <f t="shared" si="90"/>
        <v>0</v>
      </c>
      <c r="S402" s="36"/>
      <c r="T402" s="38">
        <v>8046</v>
      </c>
    </row>
    <row r="403" spans="2:20" ht="15.6" x14ac:dyDescent="0.3">
      <c r="B403" s="30">
        <f t="shared" si="91"/>
        <v>5</v>
      </c>
      <c r="C403" s="30" t="s">
        <v>615</v>
      </c>
      <c r="D403" s="31" t="s">
        <v>616</v>
      </c>
      <c r="E403" s="32">
        <v>45473</v>
      </c>
      <c r="F403" s="33">
        <v>4381.1909699999997</v>
      </c>
      <c r="G403" s="34">
        <v>10</v>
      </c>
      <c r="H403" s="35">
        <f t="shared" si="88"/>
        <v>438.11909699999995</v>
      </c>
      <c r="I403" s="33">
        <v>75847.538</v>
      </c>
      <c r="J403" s="33">
        <v>138385.75399999999</v>
      </c>
      <c r="K403" s="33">
        <v>66038.688999999998</v>
      </c>
      <c r="L403" s="33">
        <v>8001.1049999999996</v>
      </c>
      <c r="M403" s="33">
        <v>2318.0619999999999</v>
      </c>
      <c r="N403" s="35">
        <f t="shared" si="89"/>
        <v>1775.6659999999999</v>
      </c>
      <c r="O403" s="33">
        <v>542.39599999999996</v>
      </c>
      <c r="P403" s="36">
        <v>0</v>
      </c>
      <c r="Q403" s="36">
        <v>0</v>
      </c>
      <c r="R403" s="37">
        <f t="shared" si="90"/>
        <v>0</v>
      </c>
      <c r="S403" s="36"/>
      <c r="T403" s="38">
        <v>10700</v>
      </c>
    </row>
    <row r="404" spans="2:20" ht="15.6" x14ac:dyDescent="0.3">
      <c r="B404" s="30">
        <f t="shared" si="91"/>
        <v>6</v>
      </c>
      <c r="C404" s="30" t="s">
        <v>617</v>
      </c>
      <c r="D404" s="31" t="s">
        <v>618</v>
      </c>
      <c r="E404" s="32">
        <v>45473</v>
      </c>
      <c r="F404" s="33">
        <v>3163.55132</v>
      </c>
      <c r="G404" s="34">
        <v>10</v>
      </c>
      <c r="H404" s="35">
        <f>+F404/G404</f>
        <v>316.35513200000003</v>
      </c>
      <c r="I404" s="33">
        <v>4020.3743100000002</v>
      </c>
      <c r="J404" s="33">
        <v>13523.902748</v>
      </c>
      <c r="K404" s="33">
        <v>2456.3551969999999</v>
      </c>
      <c r="L404" s="33">
        <v>392.90709299999997</v>
      </c>
      <c r="M404" s="33">
        <v>-267.60909400000003</v>
      </c>
      <c r="N404" s="35">
        <f>+M404-O404</f>
        <v>-288.03502800000001</v>
      </c>
      <c r="O404" s="33">
        <v>20.425934000000002</v>
      </c>
      <c r="P404" s="36">
        <v>0</v>
      </c>
      <c r="Q404" s="36">
        <v>0</v>
      </c>
      <c r="R404" s="37">
        <f>SUM(P404:Q404)</f>
        <v>0</v>
      </c>
      <c r="S404" s="36"/>
      <c r="T404" s="38">
        <v>702</v>
      </c>
    </row>
    <row r="405" spans="2:20" ht="15.6" x14ac:dyDescent="0.3">
      <c r="B405" s="30">
        <f t="shared" si="91"/>
        <v>7</v>
      </c>
      <c r="C405" s="30" t="s">
        <v>619</v>
      </c>
      <c r="D405" s="31" t="s">
        <v>620</v>
      </c>
      <c r="E405" s="32">
        <v>45473</v>
      </c>
      <c r="F405" s="33">
        <v>24528.475999999999</v>
      </c>
      <c r="G405" s="34">
        <v>10</v>
      </c>
      <c r="H405" s="35">
        <f t="shared" si="88"/>
        <v>2452.8476000000001</v>
      </c>
      <c r="I405" s="33">
        <v>73398.853000000003</v>
      </c>
      <c r="J405" s="33">
        <v>147636.299</v>
      </c>
      <c r="K405" s="33">
        <v>80026.225999999995</v>
      </c>
      <c r="L405" s="33">
        <v>5536.2979999999998</v>
      </c>
      <c r="M405" s="33">
        <v>15299.731</v>
      </c>
      <c r="N405" s="35">
        <f t="shared" si="89"/>
        <v>7076.6149999999998</v>
      </c>
      <c r="O405" s="33">
        <v>8223.116</v>
      </c>
      <c r="P405" s="36">
        <v>10</v>
      </c>
      <c r="Q405" s="36">
        <v>0</v>
      </c>
      <c r="R405" s="37">
        <f t="shared" si="90"/>
        <v>10</v>
      </c>
      <c r="S405" s="36"/>
      <c r="T405" s="38">
        <v>13139</v>
      </c>
    </row>
    <row r="406" spans="2:20" ht="15.6" x14ac:dyDescent="0.3">
      <c r="B406" s="30">
        <f t="shared" si="91"/>
        <v>8</v>
      </c>
      <c r="C406" s="30" t="s">
        <v>621</v>
      </c>
      <c r="D406" s="31" t="s">
        <v>622</v>
      </c>
      <c r="E406" s="32">
        <v>45473</v>
      </c>
      <c r="F406" s="33">
        <v>501.6</v>
      </c>
      <c r="G406" s="34">
        <v>10</v>
      </c>
      <c r="H406" s="35">
        <f t="shared" si="88"/>
        <v>50.160000000000004</v>
      </c>
      <c r="I406" s="33">
        <f>3861.686+880.666</f>
        <v>4742.3519999999999</v>
      </c>
      <c r="J406" s="33">
        <v>7814.35</v>
      </c>
      <c r="K406" s="33">
        <v>10908.118</v>
      </c>
      <c r="L406" s="33">
        <v>276.17399999999998</v>
      </c>
      <c r="M406" s="33">
        <v>670.12800000000004</v>
      </c>
      <c r="N406" s="35">
        <f t="shared" si="89"/>
        <v>352.80500000000006</v>
      </c>
      <c r="O406" s="33">
        <v>317.32299999999998</v>
      </c>
      <c r="P406" s="36">
        <v>0</v>
      </c>
      <c r="Q406" s="36">
        <v>0</v>
      </c>
      <c r="R406" s="37">
        <f t="shared" si="90"/>
        <v>0</v>
      </c>
      <c r="S406" s="36"/>
      <c r="T406" s="38">
        <v>1856</v>
      </c>
    </row>
    <row r="407" spans="2:20" ht="15.6" x14ac:dyDescent="0.3">
      <c r="B407" s="30">
        <f t="shared" si="91"/>
        <v>9</v>
      </c>
      <c r="C407" s="30" t="s">
        <v>623</v>
      </c>
      <c r="D407" s="31" t="s">
        <v>624</v>
      </c>
      <c r="E407" s="32">
        <v>45473</v>
      </c>
      <c r="F407" s="33">
        <v>6948</v>
      </c>
      <c r="G407" s="34">
        <v>10</v>
      </c>
      <c r="H407" s="35">
        <f t="shared" si="88"/>
        <v>694.8</v>
      </c>
      <c r="I407" s="33">
        <v>12343.563561999999</v>
      </c>
      <c r="J407" s="33">
        <v>25361.291228999999</v>
      </c>
      <c r="K407" s="33">
        <v>4516.6277950000003</v>
      </c>
      <c r="L407" s="33">
        <v>178.59922800000001</v>
      </c>
      <c r="M407" s="33">
        <v>333.86143499999997</v>
      </c>
      <c r="N407" s="35">
        <f t="shared" si="89"/>
        <v>282.41466499999996</v>
      </c>
      <c r="O407" s="33">
        <v>51.446770000000001</v>
      </c>
      <c r="P407" s="36">
        <v>0</v>
      </c>
      <c r="Q407" s="36">
        <v>0</v>
      </c>
      <c r="R407" s="37">
        <f t="shared" si="90"/>
        <v>0</v>
      </c>
      <c r="S407" s="36"/>
      <c r="T407" s="38">
        <v>6381</v>
      </c>
    </row>
    <row r="408" spans="2:20" ht="15.6" x14ac:dyDescent="0.3">
      <c r="B408" s="30">
        <f t="shared" si="91"/>
        <v>10</v>
      </c>
      <c r="C408" s="30" t="s">
        <v>625</v>
      </c>
      <c r="D408" s="31" t="s">
        <v>626</v>
      </c>
      <c r="E408" s="32">
        <v>45473</v>
      </c>
      <c r="F408" s="33">
        <v>4002.739</v>
      </c>
      <c r="G408" s="34">
        <v>10</v>
      </c>
      <c r="H408" s="35">
        <f t="shared" si="88"/>
        <v>400.27390000000003</v>
      </c>
      <c r="I408" s="33">
        <v>24051.605</v>
      </c>
      <c r="J408" s="33">
        <v>37125.656999999999</v>
      </c>
      <c r="K408" s="33">
        <v>18165.082999999999</v>
      </c>
      <c r="L408" s="33">
        <v>279.38</v>
      </c>
      <c r="M408" s="33">
        <v>2811.808</v>
      </c>
      <c r="N408" s="35">
        <f t="shared" si="89"/>
        <v>1069.078</v>
      </c>
      <c r="O408" s="33">
        <v>1742.73</v>
      </c>
      <c r="P408" s="36">
        <v>0</v>
      </c>
      <c r="Q408" s="36">
        <v>0</v>
      </c>
      <c r="R408" s="37">
        <f t="shared" si="90"/>
        <v>0</v>
      </c>
      <c r="S408" s="36"/>
      <c r="T408" s="38">
        <v>3299</v>
      </c>
    </row>
    <row r="409" spans="2:20" ht="15.6" x14ac:dyDescent="0.3">
      <c r="B409" s="30">
        <f t="shared" si="91"/>
        <v>11</v>
      </c>
      <c r="C409" s="30" t="s">
        <v>627</v>
      </c>
      <c r="D409" s="31" t="s">
        <v>628</v>
      </c>
      <c r="E409" s="32">
        <v>45473</v>
      </c>
      <c r="F409" s="33">
        <v>1958.6129699999999</v>
      </c>
      <c r="G409" s="34">
        <v>10</v>
      </c>
      <c r="H409" s="35">
        <f t="shared" si="88"/>
        <v>195.86129699999998</v>
      </c>
      <c r="I409" s="33">
        <v>41090.305290999997</v>
      </c>
      <c r="J409" s="33">
        <v>58843.295196999999</v>
      </c>
      <c r="K409" s="33">
        <v>38647.767972000001</v>
      </c>
      <c r="L409" s="33">
        <v>677.38084500000002</v>
      </c>
      <c r="M409" s="33">
        <v>12932.133734999999</v>
      </c>
      <c r="N409" s="35">
        <f t="shared" si="89"/>
        <v>4038.6789470000003</v>
      </c>
      <c r="O409" s="33">
        <v>8893.4547879999991</v>
      </c>
      <c r="P409" s="36">
        <v>0</v>
      </c>
      <c r="Q409" s="36">
        <v>0</v>
      </c>
      <c r="R409" s="37">
        <f t="shared" si="90"/>
        <v>0</v>
      </c>
      <c r="S409" s="36"/>
      <c r="T409" s="38">
        <v>2210</v>
      </c>
    </row>
    <row r="410" spans="2:20" ht="15.6" x14ac:dyDescent="0.3">
      <c r="B410" s="30">
        <f t="shared" si="91"/>
        <v>12</v>
      </c>
      <c r="C410" s="30" t="s">
        <v>629</v>
      </c>
      <c r="D410" s="31" t="s">
        <v>630</v>
      </c>
      <c r="E410" s="32">
        <v>45473</v>
      </c>
      <c r="F410" s="33">
        <v>2930</v>
      </c>
      <c r="G410" s="34">
        <v>10</v>
      </c>
      <c r="H410" s="35">
        <f t="shared" si="88"/>
        <v>293</v>
      </c>
      <c r="I410" s="33">
        <v>147761.277</v>
      </c>
      <c r="J410" s="33">
        <v>234018.09</v>
      </c>
      <c r="K410" s="33">
        <v>115324.942</v>
      </c>
      <c r="L410" s="33">
        <v>1581.1679999999999</v>
      </c>
      <c r="M410" s="33">
        <v>40434.512999999999</v>
      </c>
      <c r="N410" s="35">
        <f t="shared" si="89"/>
        <v>12327.973999999998</v>
      </c>
      <c r="O410" s="33">
        <v>28106.539000000001</v>
      </c>
      <c r="P410" s="36">
        <v>150</v>
      </c>
      <c r="Q410" s="36">
        <v>0</v>
      </c>
      <c r="R410" s="37">
        <f t="shared" si="90"/>
        <v>150</v>
      </c>
      <c r="S410" s="36"/>
      <c r="T410" s="38">
        <v>9640</v>
      </c>
    </row>
    <row r="411" spans="2:20" ht="15.6" x14ac:dyDescent="0.3">
      <c r="B411" s="30">
        <f t="shared" si="91"/>
        <v>13</v>
      </c>
      <c r="C411" s="30" t="s">
        <v>631</v>
      </c>
      <c r="D411" s="31" t="s">
        <v>632</v>
      </c>
      <c r="E411" s="32">
        <v>45473</v>
      </c>
      <c r="F411" s="33">
        <v>10475.62608</v>
      </c>
      <c r="G411" s="34">
        <v>10</v>
      </c>
      <c r="H411" s="35">
        <f t="shared" si="88"/>
        <v>1047.562608</v>
      </c>
      <c r="I411" s="33">
        <v>52615.908000000003</v>
      </c>
      <c r="J411" s="33">
        <v>99365.682000000001</v>
      </c>
      <c r="K411" s="33">
        <v>66452.347999999998</v>
      </c>
      <c r="L411" s="33">
        <v>4138.2860000000001</v>
      </c>
      <c r="M411" s="33">
        <v>8885.6440000000002</v>
      </c>
      <c r="N411" s="35">
        <f t="shared" si="89"/>
        <v>3613.1170000000002</v>
      </c>
      <c r="O411" s="33">
        <v>5272.527</v>
      </c>
      <c r="P411" s="36">
        <v>0</v>
      </c>
      <c r="Q411" s="36">
        <v>0</v>
      </c>
      <c r="R411" s="37">
        <f t="shared" si="90"/>
        <v>0</v>
      </c>
      <c r="S411" s="36"/>
      <c r="T411" s="38">
        <v>13778</v>
      </c>
    </row>
    <row r="412" spans="2:20" ht="15.6" x14ac:dyDescent="0.3">
      <c r="B412" s="30">
        <f t="shared" si="91"/>
        <v>14</v>
      </c>
      <c r="C412" s="30" t="s">
        <v>633</v>
      </c>
      <c r="D412" s="31" t="s">
        <v>634</v>
      </c>
      <c r="E412" s="32">
        <v>45473</v>
      </c>
      <c r="F412" s="33">
        <v>2271.489</v>
      </c>
      <c r="G412" s="34">
        <v>10</v>
      </c>
      <c r="H412" s="35">
        <f t="shared" si="88"/>
        <v>227.1489</v>
      </c>
      <c r="I412" s="33">
        <v>45671.841</v>
      </c>
      <c r="J412" s="33">
        <v>85077.941999999995</v>
      </c>
      <c r="K412" s="33">
        <v>35519.271000000001</v>
      </c>
      <c r="L412" s="33">
        <v>2805.9560000000001</v>
      </c>
      <c r="M412" s="33">
        <v>8383.2199999999993</v>
      </c>
      <c r="N412" s="35">
        <f t="shared" si="89"/>
        <v>3207.0519999999997</v>
      </c>
      <c r="O412" s="33">
        <v>5176.1679999999997</v>
      </c>
      <c r="P412" s="36">
        <f>50+100</f>
        <v>150</v>
      </c>
      <c r="Q412" s="36">
        <v>0</v>
      </c>
      <c r="R412" s="37">
        <f t="shared" si="90"/>
        <v>150</v>
      </c>
      <c r="S412" s="36"/>
      <c r="T412" s="38">
        <v>6792</v>
      </c>
    </row>
    <row r="413" spans="2:20" ht="15.6" x14ac:dyDescent="0.3">
      <c r="B413" s="30">
        <f t="shared" si="91"/>
        <v>15</v>
      </c>
      <c r="C413" s="30" t="s">
        <v>635</v>
      </c>
      <c r="D413" s="31" t="s">
        <v>636</v>
      </c>
      <c r="E413" s="32">
        <v>45473</v>
      </c>
      <c r="F413" s="33">
        <v>11118.852000000001</v>
      </c>
      <c r="G413" s="34">
        <v>10</v>
      </c>
      <c r="H413" s="35">
        <f t="shared" si="88"/>
        <v>1111.8852000000002</v>
      </c>
      <c r="I413" s="33">
        <v>19419.120999999999</v>
      </c>
      <c r="J413" s="33">
        <v>47777.775999999998</v>
      </c>
      <c r="K413" s="33">
        <v>31077.214</v>
      </c>
      <c r="L413" s="33">
        <v>4975.0330000000004</v>
      </c>
      <c r="M413" s="33">
        <v>-1918.9190000000001</v>
      </c>
      <c r="N413" s="35">
        <f t="shared" si="89"/>
        <v>784.36500000000001</v>
      </c>
      <c r="O413" s="33">
        <v>-2703.2840000000001</v>
      </c>
      <c r="P413" s="36">
        <v>0</v>
      </c>
      <c r="Q413" s="36">
        <v>0</v>
      </c>
      <c r="R413" s="37">
        <f t="shared" si="90"/>
        <v>0</v>
      </c>
      <c r="S413" s="36"/>
      <c r="T413" s="38">
        <v>9799</v>
      </c>
    </row>
    <row r="414" spans="2:20" ht="15.6" x14ac:dyDescent="0.3">
      <c r="B414" s="30"/>
      <c r="C414" s="30" t="s">
        <v>637</v>
      </c>
      <c r="D414" s="31" t="s">
        <v>638</v>
      </c>
      <c r="E414" s="32">
        <v>45473</v>
      </c>
      <c r="F414" s="33"/>
      <c r="G414" s="34">
        <v>10</v>
      </c>
      <c r="H414" s="35">
        <f t="shared" si="88"/>
        <v>0</v>
      </c>
      <c r="I414" s="33"/>
      <c r="J414" s="33"/>
      <c r="K414" s="33"/>
      <c r="L414" s="33"/>
      <c r="M414" s="33"/>
      <c r="N414" s="35">
        <f t="shared" si="89"/>
        <v>0</v>
      </c>
      <c r="O414" s="33"/>
      <c r="P414" s="36"/>
      <c r="Q414" s="36"/>
      <c r="R414" s="37">
        <f t="shared" si="90"/>
        <v>0</v>
      </c>
      <c r="S414" s="36"/>
      <c r="T414" s="38"/>
    </row>
    <row r="415" spans="2:20" ht="15.6" x14ac:dyDescent="0.3">
      <c r="B415" s="30">
        <f>+B413+1</f>
        <v>16</v>
      </c>
      <c r="C415" s="30" t="s">
        <v>639</v>
      </c>
      <c r="D415" s="31" t="s">
        <v>640</v>
      </c>
      <c r="E415" s="32">
        <v>45473</v>
      </c>
      <c r="F415" s="33">
        <v>250</v>
      </c>
      <c r="G415" s="34">
        <v>10</v>
      </c>
      <c r="H415" s="35">
        <f t="shared" si="88"/>
        <v>25</v>
      </c>
      <c r="I415" s="33">
        <v>382.39362899999998</v>
      </c>
      <c r="J415" s="33">
        <v>805.62777100000005</v>
      </c>
      <c r="K415" s="33">
        <v>1262.4803589999999</v>
      </c>
      <c r="L415" s="33">
        <v>52.225884000000001</v>
      </c>
      <c r="M415" s="33">
        <v>146.64727099999999</v>
      </c>
      <c r="N415" s="35">
        <f t="shared" si="89"/>
        <v>35.041645999999986</v>
      </c>
      <c r="O415" s="33">
        <v>111.605625</v>
      </c>
      <c r="P415" s="36">
        <v>20</v>
      </c>
      <c r="Q415" s="36">
        <v>0</v>
      </c>
      <c r="R415" s="37">
        <f t="shared" si="90"/>
        <v>20</v>
      </c>
      <c r="S415" s="36"/>
      <c r="T415" s="38">
        <v>727</v>
      </c>
    </row>
    <row r="416" spans="2:20" ht="15.6" x14ac:dyDescent="0.3">
      <c r="B416" s="30">
        <f t="shared" si="91"/>
        <v>17</v>
      </c>
      <c r="C416" s="30" t="s">
        <v>641</v>
      </c>
      <c r="D416" s="31" t="s">
        <v>642</v>
      </c>
      <c r="E416" s="32">
        <v>45473</v>
      </c>
      <c r="F416" s="33">
        <v>847.18100000000004</v>
      </c>
      <c r="G416" s="34">
        <v>10</v>
      </c>
      <c r="H416" s="35">
        <f t="shared" si="88"/>
        <v>84.718100000000007</v>
      </c>
      <c r="I416" s="33">
        <v>4209.1880000000001</v>
      </c>
      <c r="J416" s="33">
        <v>7626.5810000000001</v>
      </c>
      <c r="K416" s="33">
        <v>7521.5770000000002</v>
      </c>
      <c r="L416" s="33">
        <v>53.290999999999997</v>
      </c>
      <c r="M416" s="33">
        <v>2472.9870000000001</v>
      </c>
      <c r="N416" s="35">
        <f t="shared" si="89"/>
        <v>971.95</v>
      </c>
      <c r="O416" s="33">
        <v>1501.037</v>
      </c>
      <c r="P416" s="36">
        <v>10</v>
      </c>
      <c r="Q416" s="36">
        <v>0</v>
      </c>
      <c r="R416" s="37">
        <f t="shared" si="90"/>
        <v>10</v>
      </c>
      <c r="S416" s="36"/>
      <c r="T416" s="38">
        <v>2024</v>
      </c>
    </row>
    <row r="418" spans="2:20" ht="15.6" x14ac:dyDescent="0.3">
      <c r="B418" s="56"/>
      <c r="C418" s="56"/>
      <c r="D418" s="58"/>
      <c r="E418" s="59"/>
      <c r="F418" s="60"/>
      <c r="G418" s="40"/>
      <c r="H418" s="61"/>
      <c r="I418" s="60"/>
      <c r="J418" s="60"/>
      <c r="K418" s="60"/>
      <c r="L418" s="60"/>
      <c r="M418" s="60"/>
      <c r="N418" s="61"/>
      <c r="O418" s="60"/>
      <c r="P418" s="62"/>
      <c r="Q418" s="62"/>
      <c r="R418" s="63"/>
      <c r="S418" s="62"/>
      <c r="T418" s="64"/>
    </row>
    <row r="419" spans="2:20" ht="18" x14ac:dyDescent="0.35">
      <c r="B419" s="25"/>
      <c r="C419" s="25"/>
      <c r="D419" s="53" t="s">
        <v>1127</v>
      </c>
      <c r="E419" s="25"/>
      <c r="F419" s="25"/>
      <c r="G419" s="40"/>
      <c r="H419" s="41"/>
      <c r="I419" s="27"/>
      <c r="J419" s="27"/>
      <c r="K419" s="27"/>
      <c r="L419" s="27"/>
      <c r="M419" s="27"/>
      <c r="N419" s="42"/>
      <c r="O419" s="27"/>
      <c r="P419" s="27"/>
      <c r="Q419" s="27"/>
      <c r="R419" s="42"/>
      <c r="S419" s="27"/>
      <c r="T419" s="27"/>
    </row>
    <row r="420" spans="2:20" ht="15.6" x14ac:dyDescent="0.3">
      <c r="B420" s="30">
        <v>1</v>
      </c>
      <c r="C420" s="30" t="s">
        <v>643</v>
      </c>
      <c r="D420" s="43" t="s">
        <v>644</v>
      </c>
      <c r="E420" s="32">
        <v>45473</v>
      </c>
      <c r="F420" s="33">
        <v>982.36644000000001</v>
      </c>
      <c r="G420" s="34">
        <v>10</v>
      </c>
      <c r="H420" s="35">
        <f>+F420/G420</f>
        <v>98.236643999999998</v>
      </c>
      <c r="I420" s="33">
        <v>245.309</v>
      </c>
      <c r="J420" s="33">
        <v>253.30199999999999</v>
      </c>
      <c r="K420" s="33">
        <v>0</v>
      </c>
      <c r="L420" s="33">
        <v>0</v>
      </c>
      <c r="M420" s="33">
        <v>5.1660000000000004</v>
      </c>
      <c r="N420" s="35">
        <f>+M420-O420</f>
        <v>0.29300000000000015</v>
      </c>
      <c r="O420" s="33">
        <v>4.8730000000000002</v>
      </c>
      <c r="P420" s="36">
        <v>0</v>
      </c>
      <c r="Q420" s="36">
        <v>0</v>
      </c>
      <c r="R420" s="37">
        <f>SUM(P420:Q420)</f>
        <v>0</v>
      </c>
      <c r="S420" s="36"/>
      <c r="T420" s="38">
        <v>4820</v>
      </c>
    </row>
    <row r="421" spans="2:20" ht="15.6" x14ac:dyDescent="0.3">
      <c r="B421" s="30">
        <f>+B420+1</f>
        <v>2</v>
      </c>
      <c r="C421" s="30" t="s">
        <v>645</v>
      </c>
      <c r="D421" s="31" t="s">
        <v>646</v>
      </c>
      <c r="E421" s="32">
        <v>45473</v>
      </c>
      <c r="F421" s="33"/>
      <c r="G421" s="34">
        <v>10</v>
      </c>
      <c r="H421" s="35">
        <f>+F421/G421</f>
        <v>0</v>
      </c>
      <c r="I421" s="33"/>
      <c r="J421" s="33"/>
      <c r="K421" s="33"/>
      <c r="L421" s="33"/>
      <c r="M421" s="33"/>
      <c r="N421" s="35">
        <f>+M421-O421</f>
        <v>0</v>
      </c>
      <c r="O421" s="33"/>
      <c r="P421" s="36"/>
      <c r="Q421" s="36"/>
      <c r="R421" s="37">
        <f>SUM(P421:Q421)</f>
        <v>0</v>
      </c>
      <c r="S421" s="36"/>
      <c r="T421" s="38"/>
    </row>
    <row r="422" spans="2:20" ht="15.6" x14ac:dyDescent="0.3">
      <c r="B422" s="56"/>
      <c r="C422" s="56"/>
      <c r="D422" s="58"/>
      <c r="E422" s="59"/>
      <c r="F422" s="60"/>
      <c r="G422" s="40"/>
      <c r="H422" s="61"/>
      <c r="I422" s="60"/>
      <c r="J422" s="60"/>
      <c r="K422" s="60"/>
      <c r="L422" s="60"/>
      <c r="M422" s="60"/>
      <c r="N422" s="61"/>
      <c r="O422" s="60"/>
      <c r="P422" s="62"/>
      <c r="Q422" s="62"/>
      <c r="R422" s="63"/>
      <c r="S422" s="62"/>
      <c r="T422" s="64"/>
    </row>
    <row r="423" spans="2:20" ht="15.6" x14ac:dyDescent="0.3">
      <c r="B423" s="44">
        <f>COUNT(B399:B422)</f>
        <v>19</v>
      </c>
      <c r="C423" s="44"/>
      <c r="D423" s="45"/>
      <c r="E423" s="45"/>
      <c r="F423" s="45">
        <f>SUM(F399:F422)</f>
        <v>88480.566029999987</v>
      </c>
      <c r="G423" s="46"/>
      <c r="H423" s="47">
        <f t="shared" ref="H423:O423" si="92">SUM(H399:H422)</f>
        <v>8848.0566030000027</v>
      </c>
      <c r="I423" s="45">
        <f t="shared" si="92"/>
        <v>642890.85679200012</v>
      </c>
      <c r="J423" s="45">
        <f t="shared" si="92"/>
        <v>1214505.2639449998</v>
      </c>
      <c r="K423" s="45">
        <f t="shared" si="92"/>
        <v>671128.31932300003</v>
      </c>
      <c r="L423" s="45">
        <f t="shared" si="92"/>
        <v>41902.246050000002</v>
      </c>
      <c r="M423" s="45">
        <f t="shared" si="92"/>
        <v>128955.96334699998</v>
      </c>
      <c r="N423" s="48">
        <f t="shared" si="92"/>
        <v>49370.469229999988</v>
      </c>
      <c r="O423" s="45">
        <f t="shared" si="92"/>
        <v>79585.494117000009</v>
      </c>
      <c r="P423" s="49"/>
      <c r="Q423" s="49"/>
      <c r="R423" s="50"/>
      <c r="S423" s="49"/>
      <c r="T423" s="51">
        <f>SUM(T399:T422)</f>
        <v>109648</v>
      </c>
    </row>
    <row r="424" spans="2:20" ht="15.6" x14ac:dyDescent="0.3">
      <c r="B424" s="56"/>
      <c r="C424" s="56"/>
      <c r="D424" s="58"/>
      <c r="E424" s="59"/>
      <c r="F424" s="60"/>
      <c r="G424" s="40"/>
      <c r="H424" s="61"/>
      <c r="I424" s="60"/>
      <c r="J424" s="60"/>
      <c r="K424" s="60"/>
      <c r="L424" s="60"/>
      <c r="M424" s="60"/>
      <c r="N424" s="61"/>
      <c r="O424" s="60"/>
      <c r="P424" s="62"/>
      <c r="Q424" s="62"/>
      <c r="R424" s="63"/>
      <c r="S424" s="62"/>
      <c r="T424" s="64"/>
    </row>
    <row r="425" spans="2:20" ht="15.6" x14ac:dyDescent="0.3">
      <c r="B425" s="56"/>
      <c r="C425" s="56"/>
      <c r="D425" s="58"/>
      <c r="E425" s="59"/>
      <c r="F425" s="60"/>
      <c r="G425" s="40"/>
      <c r="H425" s="61"/>
      <c r="I425" s="60"/>
      <c r="J425" s="60"/>
      <c r="K425" s="60"/>
      <c r="L425" s="60"/>
      <c r="M425" s="60"/>
      <c r="N425" s="61"/>
      <c r="O425" s="60"/>
      <c r="P425" s="62"/>
      <c r="Q425" s="62"/>
      <c r="R425" s="63"/>
      <c r="S425" s="62"/>
      <c r="T425" s="64"/>
    </row>
    <row r="426" spans="2:20" ht="18" x14ac:dyDescent="0.35">
      <c r="B426" s="25"/>
      <c r="C426" s="29">
        <v>16</v>
      </c>
      <c r="D426" s="29" t="s">
        <v>647</v>
      </c>
      <c r="E426" s="55"/>
      <c r="F426" s="55"/>
      <c r="G426" s="40"/>
      <c r="H426" s="41"/>
      <c r="I426" s="27"/>
      <c r="J426" s="27"/>
      <c r="K426" s="27"/>
      <c r="L426" s="27"/>
      <c r="M426" s="27"/>
      <c r="N426" s="42"/>
      <c r="O426" s="27"/>
      <c r="P426" s="27"/>
      <c r="Q426" s="27"/>
      <c r="R426" s="42"/>
      <c r="S426" s="27"/>
      <c r="T426" s="27"/>
    </row>
    <row r="427" spans="2:20" ht="15.6" x14ac:dyDescent="0.3">
      <c r="B427" s="56"/>
      <c r="C427" s="56"/>
      <c r="D427" s="58"/>
      <c r="E427" s="59"/>
      <c r="F427" s="60"/>
      <c r="G427" s="40"/>
      <c r="H427" s="61"/>
      <c r="I427" s="60"/>
      <c r="J427" s="60"/>
      <c r="K427" s="60"/>
      <c r="L427" s="60"/>
      <c r="M427" s="60"/>
      <c r="N427" s="61"/>
      <c r="O427" s="60"/>
      <c r="P427" s="62"/>
      <c r="Q427" s="62"/>
      <c r="R427" s="63"/>
      <c r="S427" s="62"/>
      <c r="T427" s="64"/>
    </row>
    <row r="428" spans="2:20" ht="15.6" x14ac:dyDescent="0.3">
      <c r="B428" s="30">
        <v>1</v>
      </c>
      <c r="C428" s="54" t="s">
        <v>648</v>
      </c>
      <c r="D428" s="43" t="s">
        <v>649</v>
      </c>
      <c r="E428" s="32">
        <v>45473</v>
      </c>
      <c r="F428" s="33">
        <v>950.08488999999997</v>
      </c>
      <c r="G428" s="34">
        <v>10</v>
      </c>
      <c r="H428" s="35">
        <f>+F428/G428</f>
        <v>95.008488999999997</v>
      </c>
      <c r="I428" s="33">
        <v>3542.0871029999998</v>
      </c>
      <c r="J428" s="33">
        <v>4127.6781440000004</v>
      </c>
      <c r="K428" s="33">
        <v>324.16283700000002</v>
      </c>
      <c r="L428" s="33">
        <v>23.065176999999998</v>
      </c>
      <c r="M428" s="33">
        <v>533.92030499999998</v>
      </c>
      <c r="N428" s="35">
        <f>+M428-O428</f>
        <v>85.450623000000007</v>
      </c>
      <c r="O428" s="33">
        <v>448.46968199999998</v>
      </c>
      <c r="P428" s="36">
        <v>5</v>
      </c>
      <c r="Q428" s="36">
        <v>0</v>
      </c>
      <c r="R428" s="37">
        <f>SUM(P428:Q428)</f>
        <v>5</v>
      </c>
      <c r="S428" s="36"/>
      <c r="T428" s="38">
        <v>7392</v>
      </c>
    </row>
    <row r="429" spans="2:20" ht="15.6" x14ac:dyDescent="0.3">
      <c r="B429" s="30">
        <f>+B428+1</f>
        <v>2</v>
      </c>
      <c r="C429" s="54" t="s">
        <v>650</v>
      </c>
      <c r="D429" s="43" t="s">
        <v>651</v>
      </c>
      <c r="E429" s="32">
        <v>45473</v>
      </c>
      <c r="F429" s="33">
        <v>106.25852</v>
      </c>
      <c r="G429" s="34">
        <v>10</v>
      </c>
      <c r="H429" s="35">
        <f>+F429/G429</f>
        <v>10.625852</v>
      </c>
      <c r="I429" s="33">
        <v>-76.396146000000002</v>
      </c>
      <c r="J429" s="33">
        <v>788.85466699999995</v>
      </c>
      <c r="K429" s="33">
        <v>362.86791799999997</v>
      </c>
      <c r="L429" s="33">
        <v>60.456868</v>
      </c>
      <c r="M429" s="33">
        <v>26.102924999999999</v>
      </c>
      <c r="N429" s="35">
        <f>+M429-O429</f>
        <v>-4.2438870000000009</v>
      </c>
      <c r="O429" s="33">
        <v>30.346812</v>
      </c>
      <c r="P429" s="36">
        <v>0</v>
      </c>
      <c r="Q429" s="36">
        <v>0</v>
      </c>
      <c r="R429" s="37">
        <f>SUM(P429:Q429)</f>
        <v>0</v>
      </c>
      <c r="S429" s="36"/>
      <c r="T429" s="38">
        <v>996</v>
      </c>
    </row>
    <row r="430" spans="2:20" ht="15.6" x14ac:dyDescent="0.3">
      <c r="B430" s="30">
        <f>+B429+1</f>
        <v>3</v>
      </c>
      <c r="C430" s="30" t="s">
        <v>652</v>
      </c>
      <c r="D430" s="43" t="s">
        <v>653</v>
      </c>
      <c r="E430" s="32">
        <v>45473</v>
      </c>
      <c r="F430" s="33">
        <v>3808.6044700000002</v>
      </c>
      <c r="G430" s="34">
        <v>10</v>
      </c>
      <c r="H430" s="35">
        <f>+F430/G430</f>
        <v>380.86044700000002</v>
      </c>
      <c r="I430" s="33">
        <v>25339.236000000001</v>
      </c>
      <c r="J430" s="33">
        <v>40313.731</v>
      </c>
      <c r="K430" s="33">
        <v>4214.9229999999998</v>
      </c>
      <c r="L430" s="33">
        <v>166.06100000000001</v>
      </c>
      <c r="M430" s="33">
        <v>2148.0540000000001</v>
      </c>
      <c r="N430" s="35">
        <f>+M430-O430</f>
        <v>444.42700000000013</v>
      </c>
      <c r="O430" s="33">
        <v>1703.627</v>
      </c>
      <c r="P430" s="36">
        <v>40</v>
      </c>
      <c r="Q430" s="36">
        <v>0</v>
      </c>
      <c r="R430" s="37">
        <f>SUM(P430:Q430)</f>
        <v>40</v>
      </c>
      <c r="S430" s="36"/>
      <c r="T430" s="38">
        <v>3015</v>
      </c>
    </row>
    <row r="431" spans="2:20" ht="15.6" x14ac:dyDescent="0.3">
      <c r="B431" s="54">
        <f>+B430+1</f>
        <v>4</v>
      </c>
      <c r="C431" s="54" t="s">
        <v>654</v>
      </c>
      <c r="D431" s="31" t="s">
        <v>655</v>
      </c>
      <c r="E431" s="32">
        <v>45473</v>
      </c>
      <c r="F431" s="33">
        <v>2788.76604</v>
      </c>
      <c r="G431" s="34">
        <v>10</v>
      </c>
      <c r="H431" s="35">
        <f>+F431/G431</f>
        <v>278.87660399999999</v>
      </c>
      <c r="I431" s="33">
        <v>-1149.3440000000001</v>
      </c>
      <c r="J431" s="33">
        <v>7383.5110000000004</v>
      </c>
      <c r="K431" s="33">
        <v>2056.2440000000001</v>
      </c>
      <c r="L431" s="33">
        <v>222.40600000000001</v>
      </c>
      <c r="M431" s="33">
        <v>526.69000000000005</v>
      </c>
      <c r="N431" s="35">
        <f>+M431-O431</f>
        <v>0</v>
      </c>
      <c r="O431" s="33">
        <v>526.69000000000005</v>
      </c>
      <c r="P431" s="36">
        <v>0</v>
      </c>
      <c r="Q431" s="36">
        <v>0</v>
      </c>
      <c r="R431" s="37">
        <f>SUM(P431:Q431)</f>
        <v>0</v>
      </c>
      <c r="S431" s="36"/>
      <c r="T431" s="38">
        <v>9676</v>
      </c>
    </row>
    <row r="432" spans="2:20" ht="15.6" x14ac:dyDescent="0.3">
      <c r="B432" s="54">
        <f>+B431+1</f>
        <v>5</v>
      </c>
      <c r="C432" s="30" t="s">
        <v>656</v>
      </c>
      <c r="D432" s="31" t="s">
        <v>657</v>
      </c>
      <c r="E432" s="32">
        <v>45473</v>
      </c>
      <c r="F432" s="33">
        <v>5610.8687920000002</v>
      </c>
      <c r="G432" s="34">
        <v>10</v>
      </c>
      <c r="H432" s="35">
        <f>+F432/G432</f>
        <v>561.0868792</v>
      </c>
      <c r="I432" s="33">
        <v>9983.3710919999994</v>
      </c>
      <c r="J432" s="33">
        <v>14048.883914</v>
      </c>
      <c r="K432" s="33">
        <v>3084.780115</v>
      </c>
      <c r="L432" s="33">
        <v>603.20136300000001</v>
      </c>
      <c r="M432" s="33">
        <v>-3630.1531150000001</v>
      </c>
      <c r="N432" s="35">
        <f>+M432-O432</f>
        <v>0</v>
      </c>
      <c r="O432" s="33">
        <v>-3630.1531150000001</v>
      </c>
      <c r="P432" s="36">
        <v>0</v>
      </c>
      <c r="Q432" s="36">
        <v>0</v>
      </c>
      <c r="R432" s="37">
        <f>SUM(P432:Q432)</f>
        <v>0</v>
      </c>
      <c r="S432" s="36"/>
      <c r="T432" s="38">
        <v>7036</v>
      </c>
    </row>
    <row r="433" spans="2:20" ht="15.6" x14ac:dyDescent="0.3">
      <c r="B433" s="56"/>
      <c r="C433" s="56"/>
      <c r="D433" s="58"/>
      <c r="E433" s="59"/>
      <c r="F433" s="60"/>
      <c r="G433" s="40"/>
      <c r="H433" s="61"/>
      <c r="I433" s="60"/>
      <c r="J433" s="60"/>
      <c r="K433" s="60"/>
      <c r="L433" s="60"/>
      <c r="M433" s="60"/>
      <c r="N433" s="61"/>
      <c r="O433" s="60"/>
      <c r="P433" s="62"/>
      <c r="Q433" s="62"/>
      <c r="R433" s="63"/>
      <c r="S433" s="62"/>
      <c r="T433" s="64"/>
    </row>
    <row r="434" spans="2:20" ht="15.6" x14ac:dyDescent="0.3">
      <c r="B434" s="44">
        <f>COUNT(B428:B433)</f>
        <v>5</v>
      </c>
      <c r="C434" s="44"/>
      <c r="D434" s="45"/>
      <c r="E434" s="45"/>
      <c r="F434" s="45">
        <f>SUM(F428:F433)</f>
        <v>13264.582711999999</v>
      </c>
      <c r="G434" s="46"/>
      <c r="H434" s="47">
        <f t="shared" ref="H434:O434" si="93">SUM(H428:H433)</f>
        <v>1326.4582712000001</v>
      </c>
      <c r="I434" s="45">
        <f t="shared" si="93"/>
        <v>37638.954049</v>
      </c>
      <c r="J434" s="45">
        <f t="shared" si="93"/>
        <v>66662.658725000001</v>
      </c>
      <c r="K434" s="45">
        <f t="shared" si="93"/>
        <v>10042.977869999999</v>
      </c>
      <c r="L434" s="45">
        <f t="shared" si="93"/>
        <v>1075.1904079999999</v>
      </c>
      <c r="M434" s="45">
        <f t="shared" si="93"/>
        <v>-395.38588500000014</v>
      </c>
      <c r="N434" s="48">
        <f t="shared" si="93"/>
        <v>525.63373600000011</v>
      </c>
      <c r="O434" s="45">
        <f t="shared" si="93"/>
        <v>-921.01962099999992</v>
      </c>
      <c r="P434" s="49"/>
      <c r="Q434" s="49"/>
      <c r="R434" s="50"/>
      <c r="S434" s="49"/>
      <c r="T434" s="51">
        <f>SUM(T428:T433)</f>
        <v>28115</v>
      </c>
    </row>
    <row r="435" spans="2:20" ht="15.6" x14ac:dyDescent="0.3">
      <c r="B435" s="56"/>
      <c r="C435" s="56"/>
      <c r="D435" s="58"/>
      <c r="E435" s="59"/>
      <c r="F435" s="60"/>
      <c r="G435" s="40"/>
      <c r="H435" s="61"/>
      <c r="I435" s="60"/>
      <c r="J435" s="60"/>
      <c r="K435" s="60"/>
      <c r="L435" s="60"/>
      <c r="M435" s="60"/>
      <c r="N435" s="61"/>
      <c r="O435" s="60"/>
      <c r="P435" s="62"/>
      <c r="Q435" s="62"/>
      <c r="R435" s="63"/>
      <c r="S435" s="62"/>
      <c r="T435" s="64"/>
    </row>
    <row r="436" spans="2:20" ht="15.6" x14ac:dyDescent="0.3">
      <c r="B436" s="56"/>
      <c r="C436" s="56"/>
      <c r="D436" s="58"/>
      <c r="E436" s="59"/>
      <c r="F436" s="60"/>
      <c r="G436" s="40"/>
      <c r="H436" s="61"/>
      <c r="I436" s="60"/>
      <c r="J436" s="60"/>
      <c r="K436" s="60"/>
      <c r="L436" s="60"/>
      <c r="M436" s="60"/>
      <c r="N436" s="61"/>
      <c r="O436" s="60"/>
      <c r="P436" s="62"/>
      <c r="Q436" s="62"/>
      <c r="R436" s="63"/>
      <c r="S436" s="62"/>
      <c r="T436" s="64"/>
    </row>
    <row r="437" spans="2:20" ht="18" x14ac:dyDescent="0.35">
      <c r="B437" s="25"/>
      <c r="C437" s="29">
        <v>17</v>
      </c>
      <c r="D437" s="29" t="s">
        <v>658</v>
      </c>
      <c r="E437" s="55"/>
      <c r="F437" s="55"/>
      <c r="G437" s="40"/>
      <c r="H437" s="41"/>
      <c r="I437" s="27"/>
      <c r="J437" s="27"/>
      <c r="K437" s="27"/>
      <c r="L437" s="27"/>
      <c r="M437" s="27"/>
      <c r="N437" s="42"/>
      <c r="O437" s="27"/>
      <c r="P437" s="27"/>
      <c r="Q437" s="27"/>
      <c r="R437" s="42"/>
      <c r="S437" s="27"/>
      <c r="T437" s="27"/>
    </row>
    <row r="438" spans="2:20" ht="15.6" x14ac:dyDescent="0.3">
      <c r="B438" s="56"/>
      <c r="C438" s="56"/>
      <c r="D438" s="58"/>
      <c r="E438" s="59"/>
      <c r="F438" s="60"/>
      <c r="G438" s="40"/>
      <c r="H438" s="61"/>
      <c r="I438" s="60"/>
      <c r="J438" s="60"/>
      <c r="K438" s="60"/>
      <c r="L438" s="60"/>
      <c r="M438" s="60"/>
      <c r="N438" s="61"/>
      <c r="O438" s="60"/>
      <c r="P438" s="62"/>
      <c r="Q438" s="62"/>
      <c r="R438" s="63"/>
      <c r="S438" s="62"/>
      <c r="T438" s="64"/>
    </row>
    <row r="439" spans="2:20" ht="15.6" x14ac:dyDescent="0.3">
      <c r="B439" s="30">
        <v>1</v>
      </c>
      <c r="C439" s="30" t="s">
        <v>659</v>
      </c>
      <c r="D439" s="31" t="s">
        <v>660</v>
      </c>
      <c r="E439" s="32">
        <v>45473</v>
      </c>
      <c r="F439" s="33">
        <v>69.226039999999998</v>
      </c>
      <c r="G439" s="34">
        <v>10</v>
      </c>
      <c r="H439" s="35">
        <f>+F439/G439</f>
        <v>6.9226039999999998</v>
      </c>
      <c r="I439" s="33">
        <v>2696.443573</v>
      </c>
      <c r="J439" s="33">
        <v>12258.141486</v>
      </c>
      <c r="K439" s="33">
        <v>3113.760068</v>
      </c>
      <c r="L439" s="33">
        <v>269.978815</v>
      </c>
      <c r="M439" s="33">
        <v>-1018.0995370000001</v>
      </c>
      <c r="N439" s="35">
        <f>+M439-O439</f>
        <v>3.8974889999999505</v>
      </c>
      <c r="O439" s="33">
        <v>-1021.997026</v>
      </c>
      <c r="P439" s="36">
        <v>0</v>
      </c>
      <c r="Q439" s="36">
        <v>0</v>
      </c>
      <c r="R439" s="37">
        <f>SUM(P439:Q439)</f>
        <v>0</v>
      </c>
      <c r="S439" s="36"/>
      <c r="T439" s="38">
        <v>1265</v>
      </c>
    </row>
    <row r="440" spans="2:20" ht="15.6" x14ac:dyDescent="0.3">
      <c r="B440" s="30">
        <f>+B439+1</f>
        <v>2</v>
      </c>
      <c r="C440" s="30" t="s">
        <v>661</v>
      </c>
      <c r="D440" s="31" t="s">
        <v>662</v>
      </c>
      <c r="E440" s="32">
        <v>45657</v>
      </c>
      <c r="F440" s="33">
        <v>2554.9379199999998</v>
      </c>
      <c r="G440" s="34">
        <v>10</v>
      </c>
      <c r="H440" s="35">
        <f>+F440/G440</f>
        <v>255.49379199999998</v>
      </c>
      <c r="I440" s="33">
        <v>52289.966999999997</v>
      </c>
      <c r="J440" s="33">
        <f>26401.283+68075.673</f>
        <v>94476.955999999991</v>
      </c>
      <c r="K440" s="33">
        <v>121077.803</v>
      </c>
      <c r="L440" s="33">
        <v>1274.538</v>
      </c>
      <c r="M440" s="33">
        <v>49499.561000000002</v>
      </c>
      <c r="N440" s="35">
        <f>+M440-O440</f>
        <v>21716.628000000001</v>
      </c>
      <c r="O440" s="33">
        <v>27782.933000000001</v>
      </c>
      <c r="P440" s="36">
        <f>300+300+350+300</f>
        <v>1250</v>
      </c>
      <c r="Q440" s="36">
        <v>0</v>
      </c>
      <c r="R440" s="37">
        <f>SUM(P440:Q440)</f>
        <v>1250</v>
      </c>
      <c r="S440" s="36"/>
      <c r="T440" s="38">
        <v>3440</v>
      </c>
    </row>
    <row r="441" spans="2:20" ht="15.6" x14ac:dyDescent="0.3">
      <c r="B441" s="30">
        <f>+B440+1</f>
        <v>3</v>
      </c>
      <c r="C441" s="30" t="s">
        <v>663</v>
      </c>
      <c r="D441" s="31" t="s">
        <v>664</v>
      </c>
      <c r="E441" s="32">
        <v>45657</v>
      </c>
      <c r="F441" s="33">
        <v>615.80340999999999</v>
      </c>
      <c r="G441" s="34">
        <v>10</v>
      </c>
      <c r="H441" s="35">
        <f>+F441/G441</f>
        <v>61.580340999999997</v>
      </c>
      <c r="I441" s="33">
        <v>15937.199000000001</v>
      </c>
      <c r="J441" s="33">
        <v>31133.355</v>
      </c>
      <c r="K441" s="33">
        <v>32340.887999999999</v>
      </c>
      <c r="L441" s="33">
        <v>192.898</v>
      </c>
      <c r="M441" s="33">
        <v>378.28399999999999</v>
      </c>
      <c r="N441" s="35">
        <f>+M441-O441</f>
        <v>123.535</v>
      </c>
      <c r="O441" s="33">
        <v>254.749</v>
      </c>
      <c r="P441" s="36">
        <v>0</v>
      </c>
      <c r="Q441" s="36">
        <v>0</v>
      </c>
      <c r="R441" s="37">
        <f>SUM(P441:Q441)</f>
        <v>0</v>
      </c>
      <c r="S441" s="36"/>
      <c r="T441" s="38"/>
    </row>
    <row r="442" spans="2:20" ht="15.6" x14ac:dyDescent="0.3">
      <c r="B442" s="56"/>
      <c r="C442" s="56"/>
      <c r="D442" s="58"/>
      <c r="E442" s="59"/>
      <c r="F442" s="60"/>
      <c r="G442" s="40"/>
      <c r="H442" s="61"/>
      <c r="I442" s="60"/>
      <c r="J442" s="60"/>
      <c r="K442" s="60"/>
      <c r="L442" s="60"/>
      <c r="M442" s="60"/>
      <c r="N442" s="61"/>
      <c r="O442" s="60"/>
      <c r="P442" s="62"/>
      <c r="Q442" s="62"/>
      <c r="R442" s="63"/>
      <c r="S442" s="62"/>
      <c r="T442" s="64"/>
    </row>
    <row r="443" spans="2:20" ht="15.6" x14ac:dyDescent="0.3">
      <c r="B443" s="44">
        <f>COUNT(B439:B442)</f>
        <v>3</v>
      </c>
      <c r="C443" s="44"/>
      <c r="D443" s="45"/>
      <c r="E443" s="45"/>
      <c r="F443" s="45">
        <f>SUM(F439:F442)</f>
        <v>3239.9673699999998</v>
      </c>
      <c r="G443" s="46"/>
      <c r="H443" s="47">
        <f t="shared" ref="H443:O443" si="94">SUM(H439:H442)</f>
        <v>323.99673699999994</v>
      </c>
      <c r="I443" s="45">
        <f t="shared" si="94"/>
        <v>70923.609572999994</v>
      </c>
      <c r="J443" s="45">
        <f t="shared" si="94"/>
        <v>137868.45248599999</v>
      </c>
      <c r="K443" s="45">
        <f t="shared" si="94"/>
        <v>156532.45106799999</v>
      </c>
      <c r="L443" s="45">
        <f t="shared" si="94"/>
        <v>1737.4148149999999</v>
      </c>
      <c r="M443" s="45">
        <f t="shared" si="94"/>
        <v>48859.745462999999</v>
      </c>
      <c r="N443" s="48">
        <f t="shared" si="94"/>
        <v>21844.060489</v>
      </c>
      <c r="O443" s="45">
        <f t="shared" si="94"/>
        <v>27015.684974</v>
      </c>
      <c r="P443" s="49"/>
      <c r="Q443" s="49"/>
      <c r="R443" s="50"/>
      <c r="S443" s="49"/>
      <c r="T443" s="51">
        <f>SUM(T439:T442)</f>
        <v>4705</v>
      </c>
    </row>
    <row r="444" spans="2:20" ht="15.6" x14ac:dyDescent="0.3">
      <c r="B444" s="56"/>
      <c r="C444" s="56"/>
      <c r="D444" s="58"/>
      <c r="E444" s="59"/>
      <c r="F444" s="60"/>
      <c r="G444" s="40"/>
      <c r="H444" s="61"/>
      <c r="I444" s="60"/>
      <c r="J444" s="60"/>
      <c r="K444" s="60"/>
      <c r="L444" s="60"/>
      <c r="M444" s="60"/>
      <c r="N444" s="61"/>
      <c r="O444" s="60"/>
      <c r="P444" s="62"/>
      <c r="Q444" s="62"/>
      <c r="R444" s="63"/>
      <c r="S444" s="62"/>
      <c r="T444" s="64"/>
    </row>
    <row r="445" spans="2:20" ht="15.6" x14ac:dyDescent="0.3">
      <c r="B445" s="56"/>
      <c r="C445" s="56"/>
      <c r="D445" s="58"/>
      <c r="E445" s="59"/>
      <c r="F445" s="60"/>
      <c r="G445" s="40"/>
      <c r="H445" s="61"/>
      <c r="I445" s="60"/>
      <c r="J445" s="60"/>
      <c r="K445" s="60"/>
      <c r="L445" s="60"/>
      <c r="M445" s="60"/>
      <c r="N445" s="61"/>
      <c r="O445" s="60"/>
      <c r="P445" s="62"/>
      <c r="Q445" s="62"/>
      <c r="R445" s="63"/>
      <c r="S445" s="62"/>
      <c r="T445" s="64"/>
    </row>
    <row r="446" spans="2:20" ht="18" x14ac:dyDescent="0.35">
      <c r="B446" s="25"/>
      <c r="C446" s="29">
        <v>18</v>
      </c>
      <c r="D446" s="29" t="s">
        <v>665</v>
      </c>
      <c r="E446" s="55"/>
      <c r="F446" s="55"/>
      <c r="G446" s="40"/>
      <c r="H446" s="41"/>
      <c r="I446" s="27"/>
      <c r="J446" s="27"/>
      <c r="K446" s="27"/>
      <c r="L446" s="27"/>
      <c r="M446" s="27"/>
      <c r="N446" s="42"/>
      <c r="O446" s="27"/>
      <c r="P446" s="27"/>
      <c r="Q446" s="27"/>
      <c r="R446" s="42"/>
      <c r="S446" s="27"/>
      <c r="T446" s="27"/>
    </row>
    <row r="447" spans="2:20" ht="15.6" x14ac:dyDescent="0.3">
      <c r="B447" s="56"/>
      <c r="C447" s="56"/>
      <c r="D447" s="58"/>
      <c r="E447" s="59"/>
      <c r="F447" s="60"/>
      <c r="G447" s="40"/>
      <c r="H447" s="61"/>
      <c r="I447" s="60"/>
      <c r="J447" s="60"/>
      <c r="K447" s="60"/>
      <c r="L447" s="60"/>
      <c r="M447" s="60"/>
      <c r="N447" s="61"/>
      <c r="O447" s="60"/>
      <c r="P447" s="62"/>
      <c r="Q447" s="62"/>
      <c r="R447" s="63"/>
      <c r="S447" s="62"/>
      <c r="T447" s="64"/>
    </row>
    <row r="448" spans="2:20" ht="15.6" x14ac:dyDescent="0.3">
      <c r="B448" s="54">
        <v>1</v>
      </c>
      <c r="C448" s="54" t="s">
        <v>666</v>
      </c>
      <c r="D448" s="31" t="s">
        <v>667</v>
      </c>
      <c r="E448" s="32">
        <v>45473</v>
      </c>
      <c r="F448" s="33">
        <v>1066.1624999999999</v>
      </c>
      <c r="G448" s="34">
        <v>10</v>
      </c>
      <c r="H448" s="35">
        <f>+F448/G448</f>
        <v>106.61624999999999</v>
      </c>
      <c r="I448" s="33">
        <v>133499.98699999999</v>
      </c>
      <c r="J448" s="33">
        <v>214088.133</v>
      </c>
      <c r="K448" s="33">
        <v>382916.67300000001</v>
      </c>
      <c r="L448" s="33"/>
      <c r="M448" s="33">
        <v>40404.107000000004</v>
      </c>
      <c r="N448" s="35">
        <f>+M448-O448</f>
        <v>15160.246000000003</v>
      </c>
      <c r="O448" s="33">
        <v>25243.861000000001</v>
      </c>
      <c r="P448" s="36">
        <f>25+125</f>
        <v>150</v>
      </c>
      <c r="Q448" s="36">
        <v>0</v>
      </c>
      <c r="R448" s="37">
        <f>SUM(P448:Q448)</f>
        <v>150</v>
      </c>
      <c r="S448" s="36"/>
      <c r="T448" s="38">
        <v>5892</v>
      </c>
    </row>
    <row r="449" spans="2:20" ht="15.6" x14ac:dyDescent="0.3">
      <c r="B449" s="54">
        <f>+B448+1</f>
        <v>2</v>
      </c>
      <c r="C449" s="54" t="s">
        <v>668</v>
      </c>
      <c r="D449" s="31" t="s">
        <v>669</v>
      </c>
      <c r="E449" s="32">
        <v>45473</v>
      </c>
      <c r="F449" s="33">
        <v>54934.475709999999</v>
      </c>
      <c r="G449" s="34">
        <v>10</v>
      </c>
      <c r="H449" s="35">
        <f>+F449/G449</f>
        <v>5493.4475709999997</v>
      </c>
      <c r="I449" s="33">
        <v>205120.27799999999</v>
      </c>
      <c r="J449" s="33">
        <v>368085.674</v>
      </c>
      <c r="K449" s="33">
        <v>240626.16899999999</v>
      </c>
      <c r="L449" s="33">
        <v>9387.1010000000006</v>
      </c>
      <c r="M449" s="33">
        <v>1485.028</v>
      </c>
      <c r="N449" s="35">
        <f>+M449-O449</f>
        <v>476.654</v>
      </c>
      <c r="O449" s="33">
        <v>1008.374</v>
      </c>
      <c r="P449" s="36">
        <v>0</v>
      </c>
      <c r="Q449" s="36">
        <v>0</v>
      </c>
      <c r="R449" s="37">
        <f>SUM(P449:Q449)</f>
        <v>0</v>
      </c>
      <c r="S449" s="36"/>
      <c r="T449" s="38">
        <v>26610</v>
      </c>
    </row>
    <row r="450" spans="2:20" ht="15.6" x14ac:dyDescent="0.3">
      <c r="B450" s="54">
        <f>+B449+1</f>
        <v>3</v>
      </c>
      <c r="C450" s="54" t="s">
        <v>670</v>
      </c>
      <c r="D450" s="31" t="s">
        <v>671</v>
      </c>
      <c r="E450" s="32">
        <v>45473</v>
      </c>
      <c r="F450" s="33">
        <v>799.66560000000004</v>
      </c>
      <c r="G450" s="34">
        <v>10</v>
      </c>
      <c r="H450" s="35">
        <f>+F450/G450</f>
        <v>79.966560000000001</v>
      </c>
      <c r="I450" s="33">
        <v>19216.555</v>
      </c>
      <c r="J450" s="33">
        <v>103172.33900000001</v>
      </c>
      <c r="K450" s="33">
        <v>308841.82799999998</v>
      </c>
      <c r="L450" s="33">
        <v>9310.0529999999999</v>
      </c>
      <c r="M450" s="33">
        <v>-18655.947</v>
      </c>
      <c r="N450" s="35">
        <f>+M450-O450</f>
        <v>-2865.732</v>
      </c>
      <c r="O450" s="33">
        <v>-15790.215</v>
      </c>
      <c r="P450" s="36">
        <v>0</v>
      </c>
      <c r="Q450" s="36">
        <v>0</v>
      </c>
      <c r="R450" s="37">
        <f>SUM(P450:Q450)</f>
        <v>0</v>
      </c>
      <c r="S450" s="36"/>
      <c r="T450" s="38">
        <v>7540</v>
      </c>
    </row>
    <row r="451" spans="2:20" ht="15.6" x14ac:dyDescent="0.3">
      <c r="B451" s="54">
        <f>+B450+1</f>
        <v>4</v>
      </c>
      <c r="C451" s="54" t="s">
        <v>672</v>
      </c>
      <c r="D451" s="31" t="s">
        <v>673</v>
      </c>
      <c r="E451" s="32">
        <v>45473</v>
      </c>
      <c r="F451" s="33">
        <v>6300</v>
      </c>
      <c r="G451" s="34">
        <v>10</v>
      </c>
      <c r="H451" s="35">
        <f>+F451/G451</f>
        <v>630</v>
      </c>
      <c r="I451" s="33">
        <v>29570.664000000001</v>
      </c>
      <c r="J451" s="33">
        <v>107925.519</v>
      </c>
      <c r="K451" s="33">
        <v>305539.679</v>
      </c>
      <c r="L451" s="33">
        <v>3785.6030000000001</v>
      </c>
      <c r="M451" s="33">
        <v>7068.6710000000003</v>
      </c>
      <c r="N451" s="35">
        <f>+M451-O451</f>
        <v>3007.0360000000001</v>
      </c>
      <c r="O451" s="33">
        <v>4061.6350000000002</v>
      </c>
      <c r="P451" s="36">
        <v>20</v>
      </c>
      <c r="Q451" s="36">
        <v>0</v>
      </c>
      <c r="R451" s="37">
        <f>SUM(P451:Q451)</f>
        <v>20</v>
      </c>
      <c r="S451" s="36"/>
      <c r="T451" s="38">
        <v>16935</v>
      </c>
    </row>
    <row r="452" spans="2:20" ht="15.6" x14ac:dyDescent="0.3">
      <c r="B452" s="56"/>
      <c r="C452" s="56"/>
      <c r="D452" s="58"/>
      <c r="E452" s="59"/>
      <c r="F452" s="60"/>
      <c r="G452" s="40"/>
      <c r="H452" s="61"/>
      <c r="I452" s="60"/>
      <c r="J452" s="60"/>
      <c r="K452" s="60"/>
      <c r="L452" s="60"/>
      <c r="M452" s="60"/>
      <c r="N452" s="61"/>
      <c r="O452" s="60"/>
      <c r="P452" s="62"/>
      <c r="Q452" s="62"/>
      <c r="R452" s="63"/>
      <c r="S452" s="62"/>
      <c r="T452" s="64"/>
    </row>
    <row r="453" spans="2:20" ht="15.6" x14ac:dyDescent="0.3">
      <c r="B453" s="44">
        <f>COUNT(B448:B452)</f>
        <v>4</v>
      </c>
      <c r="C453" s="44"/>
      <c r="D453" s="45"/>
      <c r="E453" s="45"/>
      <c r="F453" s="45">
        <f>SUM(F448:F452)</f>
        <v>63100.303809999998</v>
      </c>
      <c r="G453" s="46"/>
      <c r="H453" s="47">
        <f t="shared" ref="H453:O453" si="95">SUM(H448:H452)</f>
        <v>6310.0303809999996</v>
      </c>
      <c r="I453" s="45">
        <f t="shared" si="95"/>
        <v>387407.484</v>
      </c>
      <c r="J453" s="45">
        <f t="shared" si="95"/>
        <v>793271.66500000004</v>
      </c>
      <c r="K453" s="45">
        <f t="shared" si="95"/>
        <v>1237924.3489999999</v>
      </c>
      <c r="L453" s="45">
        <f t="shared" si="95"/>
        <v>22482.757000000001</v>
      </c>
      <c r="M453" s="45">
        <f t="shared" si="95"/>
        <v>30301.859000000004</v>
      </c>
      <c r="N453" s="48">
        <f t="shared" si="95"/>
        <v>15778.204000000003</v>
      </c>
      <c r="O453" s="45">
        <f t="shared" si="95"/>
        <v>14523.655000000001</v>
      </c>
      <c r="P453" s="49"/>
      <c r="Q453" s="49"/>
      <c r="R453" s="50"/>
      <c r="S453" s="49"/>
      <c r="T453" s="51">
        <f>SUM(T448:T452)</f>
        <v>56977</v>
      </c>
    </row>
    <row r="454" spans="2:20" ht="15.6" x14ac:dyDescent="0.3">
      <c r="B454" s="56"/>
      <c r="C454" s="56"/>
      <c r="D454" s="58"/>
      <c r="E454" s="59"/>
      <c r="F454" s="60"/>
      <c r="G454" s="40"/>
      <c r="H454" s="61"/>
      <c r="I454" s="60"/>
      <c r="J454" s="60"/>
      <c r="K454" s="60"/>
      <c r="L454" s="60"/>
      <c r="M454" s="60"/>
      <c r="N454" s="61"/>
      <c r="O454" s="60"/>
      <c r="P454" s="62"/>
      <c r="Q454" s="62"/>
      <c r="R454" s="63"/>
      <c r="S454" s="62"/>
      <c r="T454" s="64"/>
    </row>
    <row r="455" spans="2:20" ht="15.6" x14ac:dyDescent="0.3">
      <c r="B455" s="56"/>
      <c r="C455" s="56"/>
      <c r="D455" s="58"/>
      <c r="E455" s="59"/>
      <c r="F455" s="60"/>
      <c r="G455" s="40"/>
      <c r="H455" s="61"/>
      <c r="I455" s="60"/>
      <c r="J455" s="60"/>
      <c r="K455" s="60"/>
      <c r="L455" s="60"/>
      <c r="M455" s="60"/>
      <c r="N455" s="61"/>
      <c r="O455" s="60"/>
      <c r="P455" s="62"/>
      <c r="Q455" s="62"/>
      <c r="R455" s="63"/>
      <c r="S455" s="62"/>
      <c r="T455" s="64"/>
    </row>
    <row r="456" spans="2:20" ht="18" x14ac:dyDescent="0.35">
      <c r="B456" s="25"/>
      <c r="C456" s="29">
        <v>19</v>
      </c>
      <c r="D456" s="29" t="s">
        <v>674</v>
      </c>
      <c r="E456" s="55"/>
      <c r="F456" s="55"/>
      <c r="G456" s="40"/>
      <c r="H456" s="41"/>
      <c r="I456" s="27"/>
      <c r="J456" s="27"/>
      <c r="K456" s="27"/>
      <c r="L456" s="27"/>
      <c r="M456" s="27"/>
      <c r="N456" s="42"/>
      <c r="O456" s="27"/>
      <c r="P456" s="27"/>
      <c r="Q456" s="27"/>
      <c r="R456" s="42"/>
      <c r="S456" s="27"/>
      <c r="T456" s="27"/>
    </row>
    <row r="457" spans="2:20" ht="15.6" x14ac:dyDescent="0.3">
      <c r="B457" s="56"/>
      <c r="C457" s="56"/>
      <c r="D457" s="58"/>
      <c r="E457" s="59"/>
      <c r="F457" s="60"/>
      <c r="G457" s="40"/>
      <c r="H457" s="61"/>
      <c r="I457" s="60"/>
      <c r="J457" s="60"/>
      <c r="K457" s="60"/>
      <c r="L457" s="60"/>
      <c r="M457" s="60"/>
      <c r="N457" s="61"/>
      <c r="O457" s="60"/>
      <c r="P457" s="62"/>
      <c r="Q457" s="62"/>
      <c r="R457" s="63"/>
      <c r="S457" s="62"/>
      <c r="T457" s="64"/>
    </row>
    <row r="459" spans="2:20" ht="15.6" x14ac:dyDescent="0.3">
      <c r="B459" s="30">
        <v>1</v>
      </c>
      <c r="C459" s="30" t="s">
        <v>675</v>
      </c>
      <c r="D459" s="31" t="s">
        <v>676</v>
      </c>
      <c r="E459" s="32">
        <v>45473</v>
      </c>
      <c r="F459" s="33">
        <f>363.38*G459</f>
        <v>3633.8</v>
      </c>
      <c r="G459" s="34">
        <v>10</v>
      </c>
      <c r="H459" s="35">
        <f t="shared" ref="H459:H473" si="96">+F459/G459</f>
        <v>363.38</v>
      </c>
      <c r="I459" s="33">
        <v>3749.288</v>
      </c>
      <c r="J459" s="33">
        <v>3887.009</v>
      </c>
      <c r="K459" s="33">
        <v>0</v>
      </c>
      <c r="L459" s="33">
        <v>7.577</v>
      </c>
      <c r="M459" s="33">
        <v>4341.2879999999996</v>
      </c>
      <c r="N459" s="35">
        <f t="shared" ref="N459:N473" si="97">+M459-O459</f>
        <v>4.975999999999658</v>
      </c>
      <c r="O459" s="33">
        <v>4336.3119999999999</v>
      </c>
      <c r="P459" s="36">
        <f>47.5+15+15</f>
        <v>77.5</v>
      </c>
      <c r="Q459" s="36">
        <v>0</v>
      </c>
      <c r="R459" s="37">
        <f t="shared" ref="R459:R473" si="98">SUM(P459:Q459)</f>
        <v>77.5</v>
      </c>
      <c r="S459" s="36"/>
      <c r="T459" s="38">
        <v>1158</v>
      </c>
    </row>
    <row r="460" spans="2:20" ht="15.6" x14ac:dyDescent="0.3">
      <c r="B460" s="30">
        <f t="shared" ref="B460:B473" si="99">+B459+1</f>
        <v>2</v>
      </c>
      <c r="C460" s="30" t="s">
        <v>677</v>
      </c>
      <c r="D460" s="31" t="s">
        <v>678</v>
      </c>
      <c r="E460" s="32">
        <v>45657</v>
      </c>
      <c r="F460" s="33">
        <v>3238</v>
      </c>
      <c r="G460" s="34">
        <v>10</v>
      </c>
      <c r="H460" s="35">
        <f t="shared" si="96"/>
        <v>323.8</v>
      </c>
      <c r="I460" s="33">
        <v>14194.914000000001</v>
      </c>
      <c r="J460" s="33">
        <v>21447.044999999998</v>
      </c>
      <c r="K460" s="33">
        <v>13249.779</v>
      </c>
      <c r="L460" s="33">
        <v>750.66</v>
      </c>
      <c r="M460" s="33">
        <v>2148.953</v>
      </c>
      <c r="N460" s="35">
        <f t="shared" si="97"/>
        <v>8.1460000000001855</v>
      </c>
      <c r="O460" s="33">
        <v>2140.8069999999998</v>
      </c>
      <c r="P460" s="36">
        <f>35+25</f>
        <v>60</v>
      </c>
      <c r="Q460" s="36">
        <v>0</v>
      </c>
      <c r="R460" s="37">
        <f t="shared" si="98"/>
        <v>60</v>
      </c>
      <c r="S460" s="36"/>
      <c r="T460" s="38">
        <v>18206</v>
      </c>
    </row>
    <row r="461" spans="2:20" ht="15.6" x14ac:dyDescent="0.3">
      <c r="B461" s="30">
        <f t="shared" si="99"/>
        <v>3</v>
      </c>
      <c r="C461" s="30" t="s">
        <v>679</v>
      </c>
      <c r="D461" s="31" t="s">
        <v>680</v>
      </c>
      <c r="E461" s="32">
        <v>45473</v>
      </c>
      <c r="F461" s="33">
        <f>1297.1544*G461</f>
        <v>12971.543999999998</v>
      </c>
      <c r="G461" s="34">
        <v>10</v>
      </c>
      <c r="H461" s="35">
        <f t="shared" si="96"/>
        <v>1297.1543999999999</v>
      </c>
      <c r="I461" s="33">
        <v>73812.781000000003</v>
      </c>
      <c r="J461" s="33">
        <v>157390.02600000001</v>
      </c>
      <c r="K461" s="33">
        <v>41534.404000000002</v>
      </c>
      <c r="L461" s="33">
        <v>10691.325000000001</v>
      </c>
      <c r="M461" s="33">
        <v>34909.038999999997</v>
      </c>
      <c r="N461" s="35">
        <f t="shared" si="97"/>
        <v>1029.8629999999976</v>
      </c>
      <c r="O461" s="33">
        <v>33879.175999999999</v>
      </c>
      <c r="P461" s="36">
        <f>50+40+25+85</f>
        <v>200</v>
      </c>
      <c r="Q461" s="36">
        <v>0</v>
      </c>
      <c r="R461" s="37">
        <f t="shared" si="98"/>
        <v>200</v>
      </c>
      <c r="S461" s="36"/>
      <c r="T461" s="38">
        <v>23239</v>
      </c>
    </row>
    <row r="462" spans="2:20" ht="15.6" x14ac:dyDescent="0.3">
      <c r="B462" s="30">
        <f t="shared" si="99"/>
        <v>4</v>
      </c>
      <c r="C462" s="30" t="s">
        <v>681</v>
      </c>
      <c r="D462" s="31" t="s">
        <v>682</v>
      </c>
      <c r="E462" s="32">
        <v>45473</v>
      </c>
      <c r="F462" s="33">
        <v>8802.5322799999994</v>
      </c>
      <c r="G462" s="34">
        <v>10</v>
      </c>
      <c r="H462" s="35">
        <f t="shared" si="96"/>
        <v>880.25322799999992</v>
      </c>
      <c r="I462" s="33">
        <v>61961.430999999997</v>
      </c>
      <c r="J462" s="33">
        <v>81551.254000000001</v>
      </c>
      <c r="K462" s="33">
        <v>0</v>
      </c>
      <c r="L462" s="33">
        <v>3779.7689999999998</v>
      </c>
      <c r="M462" s="33">
        <v>3361.3359999999998</v>
      </c>
      <c r="N462" s="35">
        <f t="shared" si="97"/>
        <v>-952.28200000000061</v>
      </c>
      <c r="O462" s="33">
        <v>4313.6180000000004</v>
      </c>
      <c r="P462" s="36">
        <f>45+40</f>
        <v>85</v>
      </c>
      <c r="Q462" s="36">
        <v>0</v>
      </c>
      <c r="R462" s="37">
        <f t="shared" si="98"/>
        <v>85</v>
      </c>
      <c r="S462" s="36"/>
      <c r="T462" s="38">
        <v>61328</v>
      </c>
    </row>
    <row r="463" spans="2:20" ht="15.6" x14ac:dyDescent="0.3">
      <c r="B463" s="30">
        <f t="shared" si="99"/>
        <v>5</v>
      </c>
      <c r="C463" s="30" t="s">
        <v>683</v>
      </c>
      <c r="D463" s="31" t="s">
        <v>684</v>
      </c>
      <c r="E463" s="32">
        <v>45473</v>
      </c>
      <c r="F463" s="33"/>
      <c r="G463" s="34">
        <v>3.5</v>
      </c>
      <c r="H463" s="35">
        <f t="shared" si="96"/>
        <v>0</v>
      </c>
      <c r="I463" s="33"/>
      <c r="J463" s="33"/>
      <c r="K463" s="33"/>
      <c r="L463" s="33"/>
      <c r="M463" s="33"/>
      <c r="N463" s="35">
        <f t="shared" si="97"/>
        <v>0</v>
      </c>
      <c r="O463" s="33"/>
      <c r="P463" s="36"/>
      <c r="Q463" s="36"/>
      <c r="R463" s="37">
        <f t="shared" si="98"/>
        <v>0</v>
      </c>
      <c r="S463" s="36"/>
      <c r="T463" s="38"/>
    </row>
    <row r="464" spans="2:20" ht="15.6" x14ac:dyDescent="0.3">
      <c r="B464" s="30">
        <f t="shared" si="99"/>
        <v>6</v>
      </c>
      <c r="C464" s="30" t="s">
        <v>685</v>
      </c>
      <c r="D464" s="31" t="s">
        <v>686</v>
      </c>
      <c r="E464" s="32">
        <v>45473</v>
      </c>
      <c r="F464" s="33">
        <v>1694.5861399999999</v>
      </c>
      <c r="G464" s="34">
        <v>10</v>
      </c>
      <c r="H464" s="35">
        <f t="shared" si="96"/>
        <v>169.45861399999998</v>
      </c>
      <c r="I464" s="33">
        <v>4526.4409999999998</v>
      </c>
      <c r="J464" s="33">
        <v>7731.7520000000004</v>
      </c>
      <c r="K464" s="33">
        <v>10009.893</v>
      </c>
      <c r="L464" s="33">
        <v>319.99200000000002</v>
      </c>
      <c r="M464" s="33">
        <v>1602.502</v>
      </c>
      <c r="N464" s="35">
        <f t="shared" si="97"/>
        <v>2.0039999999999054</v>
      </c>
      <c r="O464" s="33">
        <v>1600.498</v>
      </c>
      <c r="P464" s="36">
        <f>40+55+50</f>
        <v>145</v>
      </c>
      <c r="Q464" s="36">
        <v>0</v>
      </c>
      <c r="R464" s="37">
        <f t="shared" si="98"/>
        <v>145</v>
      </c>
      <c r="S464" s="36"/>
      <c r="T464" s="38">
        <v>2660</v>
      </c>
    </row>
    <row r="465" spans="2:20" ht="15.6" x14ac:dyDescent="0.3">
      <c r="B465" s="30">
        <f t="shared" si="99"/>
        <v>7</v>
      </c>
      <c r="C465" s="30" t="s">
        <v>687</v>
      </c>
      <c r="D465" s="31" t="s">
        <v>688</v>
      </c>
      <c r="E465" s="32">
        <v>45473</v>
      </c>
      <c r="F465" s="33">
        <v>126</v>
      </c>
      <c r="G465" s="34">
        <v>10</v>
      </c>
      <c r="H465" s="35">
        <f>+F465/G465</f>
        <v>12.6</v>
      </c>
      <c r="I465" s="33">
        <v>111.190613</v>
      </c>
      <c r="J465" s="33">
        <v>114.903971</v>
      </c>
      <c r="K465" s="33">
        <v>11.118458</v>
      </c>
      <c r="L465" s="33">
        <v>0</v>
      </c>
      <c r="M465" s="33">
        <v>-15.766786</v>
      </c>
      <c r="N465" s="35">
        <f>+M465-O465</f>
        <v>-3.8639999999999119E-2</v>
      </c>
      <c r="O465" s="33">
        <v>-15.728146000000001</v>
      </c>
      <c r="P465" s="36">
        <v>0</v>
      </c>
      <c r="Q465" s="36">
        <v>0</v>
      </c>
      <c r="R465" s="37">
        <f>SUM(P465:Q465)</f>
        <v>0</v>
      </c>
      <c r="S465" s="36"/>
      <c r="T465" s="38">
        <v>1332</v>
      </c>
    </row>
    <row r="466" spans="2:20" ht="15.6" x14ac:dyDescent="0.3">
      <c r="B466" s="30">
        <f t="shared" si="99"/>
        <v>8</v>
      </c>
      <c r="C466" s="30" t="s">
        <v>689</v>
      </c>
      <c r="D466" s="31" t="s">
        <v>690</v>
      </c>
      <c r="E466" s="32">
        <v>45657</v>
      </c>
      <c r="F466" s="33">
        <v>3798.3873199999998</v>
      </c>
      <c r="G466" s="34">
        <v>10</v>
      </c>
      <c r="H466" s="35">
        <f t="shared" si="96"/>
        <v>379.83873199999999</v>
      </c>
      <c r="I466" s="33">
        <v>14831.575000000001</v>
      </c>
      <c r="J466" s="33">
        <v>15079.956</v>
      </c>
      <c r="K466" s="33">
        <v>14239.415000000001</v>
      </c>
      <c r="L466" s="33">
        <v>1193.6469999999999</v>
      </c>
      <c r="M466" s="33">
        <v>485.245</v>
      </c>
      <c r="N466" s="35">
        <f t="shared" si="97"/>
        <v>20.454999999999984</v>
      </c>
      <c r="O466" s="33">
        <v>464.79</v>
      </c>
      <c r="P466" s="36">
        <f>20+20</f>
        <v>40</v>
      </c>
      <c r="Q466" s="36">
        <v>0</v>
      </c>
      <c r="R466" s="37">
        <f t="shared" si="98"/>
        <v>40</v>
      </c>
      <c r="S466" s="36"/>
      <c r="T466" s="38">
        <v>4658</v>
      </c>
    </row>
    <row r="467" spans="2:20" ht="15.6" x14ac:dyDescent="0.3">
      <c r="B467" s="30">
        <f t="shared" si="99"/>
        <v>9</v>
      </c>
      <c r="C467" s="30" t="s">
        <v>691</v>
      </c>
      <c r="D467" s="31" t="s">
        <v>692</v>
      </c>
      <c r="E467" s="32">
        <v>45473</v>
      </c>
      <c r="F467" s="33">
        <v>3673.4693900000002</v>
      </c>
      <c r="G467" s="34">
        <v>10</v>
      </c>
      <c r="H467" s="35">
        <f t="shared" si="96"/>
        <v>367.34693900000002</v>
      </c>
      <c r="I467" s="33">
        <v>29174.368999999999</v>
      </c>
      <c r="J467" s="33">
        <v>31986.688999999998</v>
      </c>
      <c r="K467" s="33">
        <v>15215.087</v>
      </c>
      <c r="L467" s="33">
        <v>227.65899999999999</v>
      </c>
      <c r="M467" s="33">
        <v>4918.8130000000001</v>
      </c>
      <c r="N467" s="35">
        <f t="shared" si="97"/>
        <v>6.5010000000002037</v>
      </c>
      <c r="O467" s="33">
        <v>4912.3119999999999</v>
      </c>
      <c r="P467" s="36">
        <v>0</v>
      </c>
      <c r="Q467" s="36">
        <v>0</v>
      </c>
      <c r="R467" s="37">
        <f t="shared" si="98"/>
        <v>0</v>
      </c>
      <c r="S467" s="36"/>
      <c r="T467" s="38">
        <v>9455</v>
      </c>
    </row>
    <row r="468" spans="2:20" ht="15.6" x14ac:dyDescent="0.3">
      <c r="B468" s="30">
        <f t="shared" si="99"/>
        <v>10</v>
      </c>
      <c r="C468" s="30" t="s">
        <v>693</v>
      </c>
      <c r="D468" s="31" t="s">
        <v>694</v>
      </c>
      <c r="E468" s="32">
        <v>45473</v>
      </c>
      <c r="F468" s="33">
        <v>3540.8850000000002</v>
      </c>
      <c r="G468" s="34">
        <v>10</v>
      </c>
      <c r="H468" s="35">
        <f t="shared" si="96"/>
        <v>354.08850000000001</v>
      </c>
      <c r="I468" s="33">
        <v>32616.923999999999</v>
      </c>
      <c r="J468" s="33">
        <v>37896.805</v>
      </c>
      <c r="K468" s="33">
        <v>22505.489000000001</v>
      </c>
      <c r="L468" s="33">
        <v>33.643000000000001</v>
      </c>
      <c r="M468" s="33">
        <v>5609.0969999999998</v>
      </c>
      <c r="N468" s="35">
        <f t="shared" si="97"/>
        <v>219.52300000000014</v>
      </c>
      <c r="O468" s="33">
        <v>5389.5739999999996</v>
      </c>
      <c r="P468" s="36">
        <f>25+20+50</f>
        <v>95</v>
      </c>
      <c r="Q468" s="36">
        <v>0</v>
      </c>
      <c r="R468" s="37">
        <f t="shared" si="98"/>
        <v>95</v>
      </c>
      <c r="S468" s="36"/>
      <c r="T468" s="38">
        <v>4743</v>
      </c>
    </row>
    <row r="469" spans="2:20" ht="15.6" x14ac:dyDescent="0.3">
      <c r="B469" s="30">
        <f t="shared" si="99"/>
        <v>11</v>
      </c>
      <c r="C469" s="30" t="s">
        <v>695</v>
      </c>
      <c r="D469" s="31" t="s">
        <v>696</v>
      </c>
      <c r="E469" s="32">
        <v>45657</v>
      </c>
      <c r="F469" s="33">
        <v>3720.8159099999998</v>
      </c>
      <c r="G469" s="34">
        <v>10</v>
      </c>
      <c r="H469" s="35">
        <f t="shared" si="96"/>
        <v>372.081591</v>
      </c>
      <c r="I469" s="33">
        <v>26595.152999999998</v>
      </c>
      <c r="J469" s="33">
        <v>27349.585999999999</v>
      </c>
      <c r="K469" s="33">
        <v>11316.38</v>
      </c>
      <c r="L469" s="33">
        <v>40.381999999999998</v>
      </c>
      <c r="M469" s="33">
        <v>4748.8239999999996</v>
      </c>
      <c r="N469" s="35">
        <f t="shared" si="97"/>
        <v>278.36599999999999</v>
      </c>
      <c r="O469" s="33">
        <v>4470.4579999999996</v>
      </c>
      <c r="P469" s="36">
        <f>20+30+20</f>
        <v>70</v>
      </c>
      <c r="Q469" s="36">
        <v>0</v>
      </c>
      <c r="R469" s="37">
        <f t="shared" si="98"/>
        <v>70</v>
      </c>
      <c r="S469" s="36"/>
      <c r="T469" s="38">
        <v>1269</v>
      </c>
    </row>
    <row r="470" spans="2:20" ht="15.6" x14ac:dyDescent="0.3">
      <c r="B470" s="30">
        <f t="shared" si="99"/>
        <v>12</v>
      </c>
      <c r="C470" s="30" t="s">
        <v>697</v>
      </c>
      <c r="D470" s="31" t="s">
        <v>698</v>
      </c>
      <c r="E470" s="32">
        <v>45473</v>
      </c>
      <c r="F470" s="33">
        <v>190.92</v>
      </c>
      <c r="G470" s="34">
        <v>10</v>
      </c>
      <c r="H470" s="35">
        <f t="shared" si="96"/>
        <v>19.091999999999999</v>
      </c>
      <c r="I470" s="33">
        <v>1171.7580109999999</v>
      </c>
      <c r="J470" s="33">
        <v>3520.0585329999999</v>
      </c>
      <c r="K470" s="33">
        <v>916.05571099999997</v>
      </c>
      <c r="L470" s="33">
        <v>163.23554300000001</v>
      </c>
      <c r="M470" s="33">
        <v>68.963319999999996</v>
      </c>
      <c r="N470" s="35">
        <f t="shared" si="97"/>
        <v>26.972073999999999</v>
      </c>
      <c r="O470" s="33">
        <v>41.991245999999997</v>
      </c>
      <c r="P470" s="36">
        <v>0</v>
      </c>
      <c r="Q470" s="36">
        <v>0</v>
      </c>
      <c r="R470" s="37">
        <f t="shared" si="98"/>
        <v>0</v>
      </c>
      <c r="S470" s="36"/>
      <c r="T470" s="38">
        <v>1225</v>
      </c>
    </row>
    <row r="471" spans="2:20" ht="15.6" x14ac:dyDescent="0.3">
      <c r="B471" s="30">
        <f t="shared" si="99"/>
        <v>13</v>
      </c>
      <c r="C471" s="30" t="s">
        <v>699</v>
      </c>
      <c r="D471" s="31" t="s">
        <v>700</v>
      </c>
      <c r="E471" s="32">
        <v>45473</v>
      </c>
      <c r="F471" s="33">
        <v>178.33267000000001</v>
      </c>
      <c r="G471" s="34">
        <v>10</v>
      </c>
      <c r="H471" s="35">
        <f>+F471/G471</f>
        <v>17.833266999999999</v>
      </c>
      <c r="I471" s="33">
        <v>9.0754680000000008</v>
      </c>
      <c r="J471" s="33">
        <v>18.433229999999998</v>
      </c>
      <c r="K471" s="33">
        <v>17.302191000000001</v>
      </c>
      <c r="L471" s="33">
        <v>0</v>
      </c>
      <c r="M471" s="33">
        <v>1.667521</v>
      </c>
      <c r="N471" s="35">
        <f>+M471-O471</f>
        <v>0</v>
      </c>
      <c r="O471" s="33">
        <v>1.667521</v>
      </c>
      <c r="P471" s="36">
        <v>0</v>
      </c>
      <c r="Q471" s="36">
        <v>0</v>
      </c>
      <c r="R471" s="37">
        <f>SUM(P471:Q471)</f>
        <v>0</v>
      </c>
      <c r="S471" s="36"/>
      <c r="T471" s="38"/>
    </row>
    <row r="472" spans="2:20" ht="15.6" x14ac:dyDescent="0.3">
      <c r="B472" s="30">
        <f t="shared" si="99"/>
        <v>14</v>
      </c>
      <c r="C472" s="30" t="s">
        <v>701</v>
      </c>
      <c r="D472" s="31" t="s">
        <v>702</v>
      </c>
      <c r="E472" s="32">
        <v>45657</v>
      </c>
      <c r="F472" s="33">
        <v>3864.7177900000002</v>
      </c>
      <c r="G472" s="34">
        <v>10</v>
      </c>
      <c r="H472" s="35">
        <f t="shared" si="96"/>
        <v>386.47177900000003</v>
      </c>
      <c r="I472" s="33">
        <v>11231.098120000001</v>
      </c>
      <c r="J472" s="33">
        <v>20907.209869999999</v>
      </c>
      <c r="K472" s="33">
        <v>9670.864055</v>
      </c>
      <c r="L472" s="33">
        <v>1296.3424849999999</v>
      </c>
      <c r="M472" s="33">
        <v>133.603206</v>
      </c>
      <c r="N472" s="35">
        <f t="shared" si="97"/>
        <v>0.26592600000000743</v>
      </c>
      <c r="O472" s="33">
        <v>133.33727999999999</v>
      </c>
      <c r="P472" s="36">
        <f>12.5</f>
        <v>12.5</v>
      </c>
      <c r="Q472" s="36">
        <v>0</v>
      </c>
      <c r="R472" s="37">
        <f t="shared" si="98"/>
        <v>12.5</v>
      </c>
      <c r="S472" s="36"/>
      <c r="T472" s="38">
        <v>7180</v>
      </c>
    </row>
    <row r="473" spans="2:20" ht="15.6" x14ac:dyDescent="0.3">
      <c r="B473" s="30">
        <f t="shared" si="99"/>
        <v>15</v>
      </c>
      <c r="C473" s="30" t="s">
        <v>703</v>
      </c>
      <c r="D473" s="31" t="s">
        <v>704</v>
      </c>
      <c r="E473" s="32">
        <v>45473</v>
      </c>
      <c r="F473" s="33">
        <v>150</v>
      </c>
      <c r="G473" s="34">
        <v>10</v>
      </c>
      <c r="H473" s="35">
        <f t="shared" si="96"/>
        <v>15</v>
      </c>
      <c r="I473" s="33">
        <v>186.10650799999999</v>
      </c>
      <c r="J473" s="33">
        <v>219.243325</v>
      </c>
      <c r="K473" s="33">
        <v>5</v>
      </c>
      <c r="L473" s="33">
        <v>1.8000000000000001E-4</v>
      </c>
      <c r="M473" s="33">
        <v>-12.300941999999999</v>
      </c>
      <c r="N473" s="35">
        <f t="shared" si="97"/>
        <v>1.0615110000000012</v>
      </c>
      <c r="O473" s="33">
        <v>-13.362453</v>
      </c>
      <c r="P473" s="36">
        <v>0</v>
      </c>
      <c r="Q473" s="36">
        <v>0</v>
      </c>
      <c r="R473" s="37">
        <f t="shared" si="98"/>
        <v>0</v>
      </c>
      <c r="S473" s="36"/>
      <c r="T473" s="38">
        <v>5010</v>
      </c>
    </row>
    <row r="474" spans="2:20" ht="15.6" x14ac:dyDescent="0.3">
      <c r="B474" s="56"/>
      <c r="C474" s="56"/>
      <c r="D474" s="58"/>
      <c r="E474" s="59"/>
      <c r="F474" s="60"/>
      <c r="G474" s="40"/>
      <c r="H474" s="61"/>
      <c r="I474" s="60"/>
      <c r="J474" s="60"/>
      <c r="K474" s="60"/>
      <c r="L474" s="60"/>
      <c r="M474" s="60"/>
      <c r="N474" s="61"/>
      <c r="O474" s="60"/>
      <c r="P474" s="62"/>
      <c r="Q474" s="62"/>
      <c r="R474" s="63"/>
      <c r="S474" s="62"/>
      <c r="T474" s="64"/>
    </row>
    <row r="475" spans="2:20" ht="15.6" x14ac:dyDescent="0.3">
      <c r="B475" s="44">
        <f>COUNT(B459:B474)</f>
        <v>15</v>
      </c>
      <c r="C475" s="44"/>
      <c r="D475" s="45"/>
      <c r="E475" s="45"/>
      <c r="F475" s="45">
        <f>SUM(F459:F474)</f>
        <v>49583.9905</v>
      </c>
      <c r="G475" s="46"/>
      <c r="H475" s="47">
        <f t="shared" ref="H475:O475" si="100">SUM(H459:H474)</f>
        <v>4958.39905</v>
      </c>
      <c r="I475" s="45">
        <f t="shared" si="100"/>
        <v>274172.10472</v>
      </c>
      <c r="J475" s="45">
        <f t="shared" si="100"/>
        <v>409099.97092900006</v>
      </c>
      <c r="K475" s="45">
        <f t="shared" si="100"/>
        <v>138690.787415</v>
      </c>
      <c r="L475" s="45">
        <f t="shared" si="100"/>
        <v>18504.232208000001</v>
      </c>
      <c r="M475" s="45">
        <f t="shared" si="100"/>
        <v>62301.263319000012</v>
      </c>
      <c r="N475" s="47">
        <f t="shared" si="100"/>
        <v>645.81287099999702</v>
      </c>
      <c r="O475" s="45">
        <f t="shared" si="100"/>
        <v>61655.450447999996</v>
      </c>
      <c r="P475" s="49"/>
      <c r="Q475" s="49"/>
      <c r="R475" s="50"/>
      <c r="S475" s="49"/>
      <c r="T475" s="51">
        <f>SUM(T459:T474)</f>
        <v>141463</v>
      </c>
    </row>
    <row r="476" spans="2:20" ht="15.6" x14ac:dyDescent="0.3">
      <c r="B476" s="56"/>
      <c r="C476" s="56"/>
      <c r="D476" s="58"/>
      <c r="E476" s="59"/>
      <c r="F476" s="60"/>
      <c r="G476" s="40"/>
      <c r="H476" s="61"/>
      <c r="I476" s="60"/>
      <c r="J476" s="60"/>
      <c r="K476" s="60"/>
      <c r="L476" s="60"/>
      <c r="M476" s="60"/>
      <c r="N476" s="61"/>
      <c r="O476" s="60"/>
      <c r="P476" s="62"/>
      <c r="Q476" s="62"/>
      <c r="R476" s="63"/>
      <c r="S476" s="62"/>
      <c r="T476" s="64"/>
    </row>
    <row r="477" spans="2:20" ht="15.6" x14ac:dyDescent="0.3">
      <c r="B477" s="56"/>
      <c r="C477" s="56"/>
      <c r="D477" s="58"/>
      <c r="E477" s="59"/>
      <c r="F477" s="60"/>
      <c r="G477" s="40"/>
      <c r="H477" s="61"/>
      <c r="I477" s="60"/>
      <c r="J477" s="60"/>
      <c r="K477" s="60"/>
      <c r="L477" s="60"/>
      <c r="M477" s="60"/>
      <c r="N477" s="61"/>
      <c r="O477" s="60"/>
      <c r="P477" s="62"/>
      <c r="Q477" s="62"/>
      <c r="R477" s="63"/>
      <c r="S477" s="62"/>
      <c r="T477" s="64"/>
    </row>
    <row r="478" spans="2:20" ht="18" x14ac:dyDescent="0.35">
      <c r="B478" s="25"/>
      <c r="C478" s="29">
        <v>20</v>
      </c>
      <c r="D478" s="29" t="s">
        <v>705</v>
      </c>
      <c r="E478" s="55"/>
      <c r="F478" s="55"/>
      <c r="G478" s="40"/>
      <c r="H478" s="41"/>
      <c r="I478" s="27"/>
      <c r="J478" s="27"/>
      <c r="K478" s="27"/>
      <c r="L478" s="27"/>
      <c r="M478" s="27"/>
      <c r="N478" s="42"/>
      <c r="O478" s="27"/>
      <c r="P478" s="27"/>
      <c r="Q478" s="27"/>
      <c r="R478" s="42"/>
      <c r="S478" s="27"/>
      <c r="T478" s="27"/>
    </row>
    <row r="479" spans="2:20" ht="15.6" x14ac:dyDescent="0.3">
      <c r="B479" s="56"/>
      <c r="C479" s="56"/>
      <c r="D479" s="58"/>
      <c r="E479" s="59"/>
      <c r="F479" s="60"/>
      <c r="G479" s="40"/>
      <c r="H479" s="61"/>
      <c r="I479" s="60"/>
      <c r="J479" s="60"/>
      <c r="K479" s="60"/>
      <c r="L479" s="60"/>
      <c r="M479" s="60"/>
      <c r="N479" s="61"/>
      <c r="O479" s="60"/>
      <c r="P479" s="62"/>
      <c r="Q479" s="62"/>
      <c r="R479" s="63"/>
      <c r="S479" s="62"/>
      <c r="T479" s="64"/>
    </row>
    <row r="480" spans="2:20" ht="15.6" x14ac:dyDescent="0.3">
      <c r="B480" s="54">
        <v>1</v>
      </c>
      <c r="C480" s="54" t="s">
        <v>706</v>
      </c>
      <c r="D480" s="31" t="s">
        <v>707</v>
      </c>
      <c r="E480" s="32">
        <v>45473</v>
      </c>
      <c r="F480" s="33">
        <v>1244.1600000000001</v>
      </c>
      <c r="G480" s="34">
        <v>10</v>
      </c>
      <c r="H480" s="35">
        <f t="shared" ref="H480:H487" si="101">+F480/G480</f>
        <v>124.41600000000001</v>
      </c>
      <c r="I480" s="33">
        <v>55937.995999999999</v>
      </c>
      <c r="J480" s="33">
        <v>105279.11599999999</v>
      </c>
      <c r="K480" s="33">
        <v>526316.75600000005</v>
      </c>
      <c r="L480" s="33">
        <v>1618.81</v>
      </c>
      <c r="M480" s="33">
        <v>22713.014999999999</v>
      </c>
      <c r="N480" s="35">
        <f t="shared" ref="N480:N487" si="102">+M480-O480</f>
        <v>8891.3850000000002</v>
      </c>
      <c r="O480" s="33">
        <v>13821.63</v>
      </c>
      <c r="P480" s="36">
        <f>100+175</f>
        <v>275</v>
      </c>
      <c r="Q480" s="36">
        <v>0</v>
      </c>
      <c r="R480" s="37">
        <f t="shared" ref="R480:R487" si="103">SUM(P480:Q480)</f>
        <v>275</v>
      </c>
      <c r="S480" s="36"/>
      <c r="T480" s="38">
        <v>4317</v>
      </c>
    </row>
    <row r="481" spans="2:20" ht="15.6" x14ac:dyDescent="0.3">
      <c r="B481" s="54">
        <f t="shared" ref="B481:B487" si="104">+B480+1</f>
        <v>2</v>
      </c>
      <c r="C481" s="54" t="s">
        <v>708</v>
      </c>
      <c r="D481" s="31" t="s">
        <v>709</v>
      </c>
      <c r="E481" s="32">
        <v>45473</v>
      </c>
      <c r="F481" s="33">
        <v>224.88800000000001</v>
      </c>
      <c r="G481" s="34">
        <v>10</v>
      </c>
      <c r="H481" s="35">
        <f t="shared" si="101"/>
        <v>22.488800000000001</v>
      </c>
      <c r="I481" s="33">
        <v>469.92399999999998</v>
      </c>
      <c r="J481" s="33">
        <v>1475.463</v>
      </c>
      <c r="K481" s="33">
        <v>2377.502</v>
      </c>
      <c r="L481" s="33">
        <v>69.823999999999998</v>
      </c>
      <c r="M481" s="33">
        <v>-76.337000000000003</v>
      </c>
      <c r="N481" s="35">
        <f t="shared" si="102"/>
        <v>-2.6599999999999966</v>
      </c>
      <c r="O481" s="33">
        <v>-73.677000000000007</v>
      </c>
      <c r="P481" s="36">
        <v>0</v>
      </c>
      <c r="Q481" s="36">
        <v>0</v>
      </c>
      <c r="R481" s="37">
        <f t="shared" si="103"/>
        <v>0</v>
      </c>
      <c r="S481" s="36"/>
      <c r="T481" s="38">
        <v>1144</v>
      </c>
    </row>
    <row r="482" spans="2:20" ht="15.6" x14ac:dyDescent="0.3">
      <c r="B482" s="54">
        <f t="shared" si="104"/>
        <v>3</v>
      </c>
      <c r="C482" s="54" t="s">
        <v>710</v>
      </c>
      <c r="D482" s="31" t="s">
        <v>711</v>
      </c>
      <c r="E482" s="32">
        <v>45473</v>
      </c>
      <c r="F482" s="33">
        <v>1392.048</v>
      </c>
      <c r="G482" s="34">
        <v>10</v>
      </c>
      <c r="H482" s="35">
        <f>+F482/G482</f>
        <v>139.20480000000001</v>
      </c>
      <c r="I482" s="33">
        <v>3938.3606810000001</v>
      </c>
      <c r="J482" s="33">
        <v>9010.4195569999993</v>
      </c>
      <c r="K482" s="33">
        <v>24016.482329999999</v>
      </c>
      <c r="L482" s="33">
        <v>544.04661999999996</v>
      </c>
      <c r="M482" s="33">
        <v>50.840417000000002</v>
      </c>
      <c r="N482" s="35">
        <f>+M482-O482</f>
        <v>39.436620000000005</v>
      </c>
      <c r="O482" s="33">
        <v>11.403797000000001</v>
      </c>
      <c r="P482" s="36">
        <v>0</v>
      </c>
      <c r="Q482" s="36">
        <v>0</v>
      </c>
      <c r="R482" s="37">
        <f>SUM(P482:Q482)</f>
        <v>0</v>
      </c>
      <c r="S482" s="36"/>
      <c r="T482" s="38">
        <v>5403</v>
      </c>
    </row>
    <row r="483" spans="2:20" ht="15.6" x14ac:dyDescent="0.3">
      <c r="B483" s="54">
        <f t="shared" si="104"/>
        <v>4</v>
      </c>
      <c r="C483" s="54" t="s">
        <v>712</v>
      </c>
      <c r="D483" s="31" t="s">
        <v>713</v>
      </c>
      <c r="E483" s="32">
        <v>45473</v>
      </c>
      <c r="F483" s="33">
        <v>250</v>
      </c>
      <c r="G483" s="34">
        <v>10</v>
      </c>
      <c r="H483" s="35">
        <f>+F483/G483</f>
        <v>25</v>
      </c>
      <c r="I483" s="33">
        <v>62.930259999999997</v>
      </c>
      <c r="J483" s="33">
        <v>121.48246</v>
      </c>
      <c r="K483" s="33">
        <v>206.37642600000001</v>
      </c>
      <c r="L483" s="33">
        <v>9.7682160000000007</v>
      </c>
      <c r="M483" s="33">
        <v>-31.463298000000002</v>
      </c>
      <c r="N483" s="35">
        <f>+M483-O483</f>
        <v>0.95780399999999588</v>
      </c>
      <c r="O483" s="33">
        <v>-32.421101999999998</v>
      </c>
      <c r="P483" s="36">
        <v>0</v>
      </c>
      <c r="Q483" s="36">
        <v>0</v>
      </c>
      <c r="R483" s="37">
        <f>SUM(P483:Q483)</f>
        <v>0</v>
      </c>
      <c r="S483" s="36"/>
      <c r="T483" s="38">
        <v>1083</v>
      </c>
    </row>
    <row r="484" spans="2:20" ht="15.6" x14ac:dyDescent="0.3">
      <c r="B484" s="54">
        <f t="shared" si="104"/>
        <v>5</v>
      </c>
      <c r="C484" s="54" t="s">
        <v>714</v>
      </c>
      <c r="D484" s="31" t="s">
        <v>715</v>
      </c>
      <c r="E484" s="32">
        <v>45473</v>
      </c>
      <c r="F484" s="33">
        <v>4694.7330000000002</v>
      </c>
      <c r="G484" s="34">
        <v>10</v>
      </c>
      <c r="H484" s="35">
        <f t="shared" si="101"/>
        <v>469.47329999999999</v>
      </c>
      <c r="I484" s="33">
        <v>231308.916</v>
      </c>
      <c r="J484" s="33">
        <v>974448.22600000002</v>
      </c>
      <c r="K484" s="33">
        <v>3571750.3059999999</v>
      </c>
      <c r="L484" s="33">
        <v>52337.942000000003</v>
      </c>
      <c r="M484" s="33">
        <v>29695.633000000002</v>
      </c>
      <c r="N484" s="35">
        <f t="shared" si="102"/>
        <v>13833.081000000002</v>
      </c>
      <c r="O484" s="33">
        <v>15862.552</v>
      </c>
      <c r="P484" s="36">
        <v>100</v>
      </c>
      <c r="Q484" s="36">
        <v>0</v>
      </c>
      <c r="R484" s="37">
        <f t="shared" si="103"/>
        <v>100</v>
      </c>
      <c r="S484" s="36"/>
      <c r="T484" s="38">
        <v>23871</v>
      </c>
    </row>
    <row r="485" spans="2:20" ht="15.6" x14ac:dyDescent="0.3">
      <c r="B485" s="54">
        <f t="shared" si="104"/>
        <v>6</v>
      </c>
      <c r="C485" s="54" t="s">
        <v>716</v>
      </c>
      <c r="D485" s="31" t="s">
        <v>717</v>
      </c>
      <c r="E485" s="32">
        <v>45657</v>
      </c>
      <c r="F485" s="33">
        <v>2140.2460000000001</v>
      </c>
      <c r="G485" s="34">
        <v>10</v>
      </c>
      <c r="H485" s="35">
        <f t="shared" si="101"/>
        <v>214.02460000000002</v>
      </c>
      <c r="I485" s="33">
        <v>23057.559000000001</v>
      </c>
      <c r="J485" s="33">
        <v>113873.95299999999</v>
      </c>
      <c r="K485" s="33">
        <v>427946.46500000003</v>
      </c>
      <c r="L485" s="33">
        <v>2206.9380000000001</v>
      </c>
      <c r="M485" s="33">
        <v>7145.6229999999996</v>
      </c>
      <c r="N485" s="35">
        <f t="shared" si="102"/>
        <v>3848.2739999999994</v>
      </c>
      <c r="O485" s="33">
        <v>3297.3490000000002</v>
      </c>
      <c r="P485" s="36">
        <v>50</v>
      </c>
      <c r="Q485" s="36">
        <v>0</v>
      </c>
      <c r="R485" s="37">
        <f t="shared" si="103"/>
        <v>50</v>
      </c>
      <c r="S485" s="36"/>
      <c r="T485" s="38">
        <v>7705</v>
      </c>
    </row>
    <row r="486" spans="2:20" ht="15.6" x14ac:dyDescent="0.3">
      <c r="B486" s="54">
        <f t="shared" si="104"/>
        <v>7</v>
      </c>
      <c r="C486" s="30" t="s">
        <v>718</v>
      </c>
      <c r="D486" s="31" t="s">
        <v>719</v>
      </c>
      <c r="E486" s="32">
        <v>45473</v>
      </c>
      <c r="F486" s="33"/>
      <c r="G486" s="34">
        <v>10</v>
      </c>
      <c r="H486" s="35">
        <f t="shared" si="101"/>
        <v>0</v>
      </c>
      <c r="I486" s="33"/>
      <c r="J486" s="33"/>
      <c r="K486" s="33"/>
      <c r="L486" s="33"/>
      <c r="M486" s="33"/>
      <c r="N486" s="35">
        <f t="shared" si="102"/>
        <v>0</v>
      </c>
      <c r="O486" s="33"/>
      <c r="P486" s="36"/>
      <c r="Q486" s="36"/>
      <c r="R486" s="37">
        <f t="shared" si="103"/>
        <v>0</v>
      </c>
      <c r="S486" s="36"/>
      <c r="T486" s="38"/>
    </row>
    <row r="487" spans="2:20" ht="15.6" x14ac:dyDescent="0.3">
      <c r="B487" s="54">
        <f t="shared" si="104"/>
        <v>8</v>
      </c>
      <c r="C487" s="54" t="s">
        <v>720</v>
      </c>
      <c r="D487" s="31" t="s">
        <v>721</v>
      </c>
      <c r="E487" s="32">
        <v>45473</v>
      </c>
      <c r="F487" s="33"/>
      <c r="G487" s="34">
        <v>10</v>
      </c>
      <c r="H487" s="35">
        <f t="shared" si="101"/>
        <v>0</v>
      </c>
      <c r="I487" s="33"/>
      <c r="J487" s="33"/>
      <c r="K487" s="33"/>
      <c r="L487" s="33"/>
      <c r="M487" s="33"/>
      <c r="N487" s="35">
        <f t="shared" si="102"/>
        <v>0</v>
      </c>
      <c r="O487" s="33"/>
      <c r="P487" s="36"/>
      <c r="Q487" s="36"/>
      <c r="R487" s="37">
        <f t="shared" si="103"/>
        <v>0</v>
      </c>
      <c r="S487" s="36"/>
      <c r="T487" s="38"/>
    </row>
    <row r="488" spans="2:20" ht="15.6" x14ac:dyDescent="0.3">
      <c r="B488" s="81"/>
      <c r="C488" s="81"/>
      <c r="D488" s="25"/>
      <c r="E488" s="82"/>
      <c r="F488" s="60"/>
      <c r="G488" s="40"/>
      <c r="H488" s="61"/>
      <c r="I488" s="60"/>
      <c r="J488" s="60"/>
      <c r="K488" s="60"/>
      <c r="L488" s="60"/>
      <c r="M488" s="60"/>
      <c r="N488" s="61"/>
      <c r="O488" s="60"/>
      <c r="P488" s="62"/>
      <c r="Q488" s="62"/>
      <c r="R488" s="63"/>
      <c r="S488" s="62"/>
      <c r="T488" s="64"/>
    </row>
    <row r="489" spans="2:20" ht="18" x14ac:dyDescent="0.35">
      <c r="B489" s="25"/>
      <c r="C489" s="25"/>
      <c r="D489" s="53" t="s">
        <v>1127</v>
      </c>
      <c r="E489" s="25"/>
      <c r="F489" s="25"/>
      <c r="G489" s="40"/>
      <c r="H489" s="41"/>
      <c r="I489" s="27"/>
      <c r="J489" s="27"/>
      <c r="K489" s="27"/>
      <c r="L489" s="27"/>
      <c r="M489" s="27"/>
      <c r="N489" s="42"/>
      <c r="O489" s="27"/>
      <c r="P489" s="27"/>
      <c r="Q489" s="27"/>
      <c r="R489" s="42"/>
      <c r="S489" s="27"/>
      <c r="T489" s="27"/>
    </row>
    <row r="490" spans="2:20" s="78" customFormat="1" ht="15.6" x14ac:dyDescent="0.3">
      <c r="B490" s="83">
        <v>1</v>
      </c>
      <c r="C490" s="83" t="s">
        <v>722</v>
      </c>
      <c r="D490" s="43" t="s">
        <v>723</v>
      </c>
      <c r="E490" s="71">
        <v>45657</v>
      </c>
      <c r="F490" s="72"/>
      <c r="G490" s="73">
        <v>10</v>
      </c>
      <c r="H490" s="74">
        <f>+F490/G490</f>
        <v>0</v>
      </c>
      <c r="I490" s="72"/>
      <c r="J490" s="72"/>
      <c r="K490" s="72"/>
      <c r="L490" s="72"/>
      <c r="M490" s="72"/>
      <c r="N490" s="74">
        <f>+M490-O490</f>
        <v>0</v>
      </c>
      <c r="O490" s="72"/>
      <c r="P490" s="75"/>
      <c r="Q490" s="75"/>
      <c r="R490" s="76">
        <f>SUM(P490:Q490)</f>
        <v>0</v>
      </c>
      <c r="S490" s="75"/>
      <c r="T490" s="77"/>
    </row>
    <row r="491" spans="2:20" ht="15.6" x14ac:dyDescent="0.3">
      <c r="B491" s="25"/>
      <c r="C491" s="25"/>
      <c r="D491" s="25"/>
      <c r="E491" s="25"/>
      <c r="F491" s="25"/>
      <c r="G491" s="40"/>
      <c r="H491" s="41"/>
      <c r="I491" s="27"/>
      <c r="J491" s="27"/>
      <c r="K491" s="27"/>
      <c r="L491" s="27"/>
      <c r="M491" s="27"/>
      <c r="N491" s="42"/>
      <c r="O491" s="27"/>
      <c r="P491" s="27"/>
      <c r="Q491" s="27"/>
      <c r="R491" s="42"/>
      <c r="S491" s="27"/>
      <c r="T491" s="27"/>
    </row>
    <row r="492" spans="2:20" ht="15.6" x14ac:dyDescent="0.3">
      <c r="B492" s="44">
        <f>COUNT(B480:B491)</f>
        <v>9</v>
      </c>
      <c r="C492" s="44"/>
      <c r="D492" s="45"/>
      <c r="E492" s="45"/>
      <c r="F492" s="45">
        <f>SUM(F480:F491)</f>
        <v>9946.0750000000007</v>
      </c>
      <c r="G492" s="46"/>
      <c r="H492" s="47">
        <f t="shared" ref="H492:O492" si="105">SUM(H480:H491)</f>
        <v>994.60750000000007</v>
      </c>
      <c r="I492" s="45">
        <f t="shared" si="105"/>
        <v>314775.685941</v>
      </c>
      <c r="J492" s="45">
        <f t="shared" si="105"/>
        <v>1204208.660017</v>
      </c>
      <c r="K492" s="45">
        <f t="shared" si="105"/>
        <v>4552613.8877560003</v>
      </c>
      <c r="L492" s="45">
        <f t="shared" si="105"/>
        <v>56787.328836000008</v>
      </c>
      <c r="M492" s="45">
        <f t="shared" si="105"/>
        <v>59497.311118999998</v>
      </c>
      <c r="N492" s="48">
        <f t="shared" si="105"/>
        <v>26610.474424</v>
      </c>
      <c r="O492" s="45">
        <f t="shared" si="105"/>
        <v>32886.836694999998</v>
      </c>
      <c r="P492" s="49"/>
      <c r="Q492" s="49"/>
      <c r="R492" s="50"/>
      <c r="S492" s="49"/>
      <c r="T492" s="51">
        <f>SUM(T480:T491)</f>
        <v>43523</v>
      </c>
    </row>
    <row r="493" spans="2:20" ht="15.6" x14ac:dyDescent="0.3">
      <c r="B493" s="25"/>
      <c r="C493" s="25"/>
      <c r="D493" s="25"/>
      <c r="E493" s="25"/>
      <c r="F493" s="25"/>
      <c r="G493" s="40"/>
      <c r="H493" s="41"/>
      <c r="I493" s="27"/>
      <c r="J493" s="27"/>
      <c r="K493" s="27"/>
      <c r="L493" s="27"/>
      <c r="M493" s="27"/>
      <c r="N493" s="42"/>
      <c r="O493" s="27"/>
      <c r="P493" s="27"/>
      <c r="Q493" s="27"/>
      <c r="R493" s="42"/>
      <c r="S493" s="27"/>
      <c r="T493" s="27"/>
    </row>
    <row r="494" spans="2:20" ht="15.6" x14ac:dyDescent="0.3">
      <c r="B494" s="25"/>
      <c r="C494" s="25"/>
      <c r="D494" s="25"/>
      <c r="E494" s="25"/>
      <c r="F494" s="25"/>
      <c r="G494" s="40"/>
      <c r="H494" s="41"/>
      <c r="I494" s="27"/>
      <c r="J494" s="27"/>
      <c r="K494" s="27"/>
      <c r="L494" s="27"/>
      <c r="M494" s="27"/>
      <c r="N494" s="42"/>
      <c r="O494" s="27"/>
      <c r="P494" s="27"/>
      <c r="Q494" s="27"/>
      <c r="R494" s="42"/>
      <c r="S494" s="27"/>
      <c r="T494" s="27"/>
    </row>
    <row r="495" spans="2:20" ht="18" x14ac:dyDescent="0.35">
      <c r="B495" s="25"/>
      <c r="C495" s="29">
        <v>21</v>
      </c>
      <c r="D495" s="29" t="s">
        <v>724</v>
      </c>
      <c r="E495" s="55"/>
      <c r="F495" s="55"/>
      <c r="G495" s="40"/>
      <c r="H495" s="41"/>
      <c r="I495" s="27"/>
      <c r="J495" s="27"/>
      <c r="K495" s="27"/>
      <c r="L495" s="27"/>
      <c r="M495" s="27"/>
      <c r="N495" s="42"/>
      <c r="O495" s="27"/>
      <c r="P495" s="27"/>
      <c r="Q495" s="27"/>
      <c r="R495" s="42"/>
      <c r="S495" s="27"/>
      <c r="T495" s="27"/>
    </row>
    <row r="496" spans="2:20" ht="15.6" x14ac:dyDescent="0.3">
      <c r="B496" s="25"/>
      <c r="C496" s="25"/>
      <c r="D496" s="25"/>
      <c r="E496" s="25"/>
      <c r="F496" s="25"/>
      <c r="G496" s="40"/>
      <c r="H496" s="41"/>
      <c r="I496" s="27"/>
      <c r="J496" s="27"/>
      <c r="K496" s="27"/>
      <c r="L496" s="27"/>
      <c r="M496" s="27"/>
      <c r="N496" s="42"/>
      <c r="O496" s="27"/>
      <c r="P496" s="27"/>
      <c r="Q496" s="27"/>
      <c r="R496" s="42"/>
      <c r="S496" s="27"/>
      <c r="T496" s="27"/>
    </row>
    <row r="497" spans="2:20" ht="15.6" x14ac:dyDescent="0.3">
      <c r="B497" s="54">
        <v>1</v>
      </c>
      <c r="C497" s="54" t="s">
        <v>725</v>
      </c>
      <c r="D497" s="31" t="s">
        <v>726</v>
      </c>
      <c r="E497" s="32">
        <v>45473</v>
      </c>
      <c r="F497" s="33">
        <v>1334.0250000000001</v>
      </c>
      <c r="G497" s="34">
        <v>10</v>
      </c>
      <c r="H497" s="35">
        <f>+F497/G497</f>
        <v>133.4025</v>
      </c>
      <c r="I497" s="33">
        <v>224907.72</v>
      </c>
      <c r="J497" s="33">
        <v>346572.24300000002</v>
      </c>
      <c r="K497" s="33">
        <v>181828.62100000001</v>
      </c>
      <c r="L497" s="33">
        <v>2864.2330000000002</v>
      </c>
      <c r="M497" s="33">
        <v>110362.905</v>
      </c>
      <c r="N497" s="35">
        <f>+M497-O497</f>
        <v>33074.793999999994</v>
      </c>
      <c r="O497" s="33">
        <v>77288.111000000004</v>
      </c>
      <c r="P497" s="36">
        <f>980+1340</f>
        <v>2320</v>
      </c>
      <c r="Q497" s="36">
        <v>800</v>
      </c>
      <c r="R497" s="37">
        <f>SUM(P497:Q497)</f>
        <v>3120</v>
      </c>
      <c r="S497" s="36"/>
      <c r="T497" s="38">
        <v>5066</v>
      </c>
    </row>
    <row r="498" spans="2:20" ht="15.6" x14ac:dyDescent="0.3">
      <c r="B498" s="54">
        <f>+B497+1</f>
        <v>2</v>
      </c>
      <c r="C498" s="54" t="s">
        <v>727</v>
      </c>
      <c r="D498" s="31" t="s">
        <v>728</v>
      </c>
      <c r="E498" s="32">
        <v>45473</v>
      </c>
      <c r="F498" s="33">
        <f>4300.9284*G498</f>
        <v>43009.284</v>
      </c>
      <c r="G498" s="34">
        <v>10</v>
      </c>
      <c r="H498" s="35">
        <f>+F498/G498</f>
        <v>4300.9283999999998</v>
      </c>
      <c r="I498" s="33">
        <v>1250496.2180000001</v>
      </c>
      <c r="J498" s="33">
        <v>1604254.14</v>
      </c>
      <c r="K498" s="33">
        <v>463697.86099999998</v>
      </c>
      <c r="L498" s="33">
        <v>7143.13</v>
      </c>
      <c r="M498" s="33">
        <v>293787.09399999998</v>
      </c>
      <c r="N498" s="35">
        <f>+M498-O498</f>
        <v>84811.322999999975</v>
      </c>
      <c r="O498" s="33">
        <v>208975.77100000001</v>
      </c>
      <c r="P498" s="36">
        <f>16+25+20+40</f>
        <v>101</v>
      </c>
      <c r="Q498" s="36">
        <v>0</v>
      </c>
      <c r="R498" s="37">
        <f>SUM(P498:Q498)</f>
        <v>101</v>
      </c>
      <c r="S498" s="36"/>
      <c r="T498" s="38">
        <v>31665</v>
      </c>
    </row>
    <row r="499" spans="2:20" ht="15.6" x14ac:dyDescent="0.3">
      <c r="B499" s="54">
        <f>+B498+1</f>
        <v>3</v>
      </c>
      <c r="C499" s="54" t="s">
        <v>729</v>
      </c>
      <c r="D499" s="31" t="s">
        <v>730</v>
      </c>
      <c r="E499" s="32">
        <v>45473</v>
      </c>
      <c r="F499" s="33">
        <v>2838.5510399999998</v>
      </c>
      <c r="G499" s="34">
        <v>10</v>
      </c>
      <c r="H499" s="35">
        <f>+F499/G499</f>
        <v>283.85510399999998</v>
      </c>
      <c r="I499" s="33">
        <v>82851.974000000002</v>
      </c>
      <c r="J499" s="33">
        <v>175888.636</v>
      </c>
      <c r="K499" s="33">
        <v>65290.432000000001</v>
      </c>
      <c r="L499" s="33">
        <v>3346.8939999999998</v>
      </c>
      <c r="M499" s="33">
        <v>52909.608</v>
      </c>
      <c r="N499" s="35">
        <f>+M499-O499</f>
        <v>13758.097000000002</v>
      </c>
      <c r="O499" s="33">
        <v>39151.510999999999</v>
      </c>
      <c r="P499" s="36">
        <f>250+700</f>
        <v>950</v>
      </c>
      <c r="Q499" s="36">
        <v>0</v>
      </c>
      <c r="R499" s="37">
        <f>SUM(P499:Q499)</f>
        <v>950</v>
      </c>
      <c r="S499" s="36"/>
      <c r="T499" s="38">
        <v>9124</v>
      </c>
    </row>
    <row r="500" spans="2:20" ht="15.6" x14ac:dyDescent="0.3">
      <c r="B500" s="54">
        <f>+B499+1</f>
        <v>4</v>
      </c>
      <c r="C500" s="54" t="s">
        <v>731</v>
      </c>
      <c r="D500" s="31" t="s">
        <v>732</v>
      </c>
      <c r="E500" s="32">
        <v>45473</v>
      </c>
      <c r="F500" s="33">
        <v>27209.835999999999</v>
      </c>
      <c r="G500" s="34">
        <v>10</v>
      </c>
      <c r="H500" s="35">
        <f>+F500/G500</f>
        <v>2720.9836</v>
      </c>
      <c r="I500" s="33">
        <v>639573.38399999996</v>
      </c>
      <c r="J500" s="33">
        <v>907447.87600000005</v>
      </c>
      <c r="K500" s="33">
        <v>288797.413</v>
      </c>
      <c r="L500" s="33">
        <v>1579.9469999999999</v>
      </c>
      <c r="M500" s="33">
        <v>159782.15</v>
      </c>
      <c r="N500" s="35">
        <f>+M500-O500</f>
        <v>45473.072999999989</v>
      </c>
      <c r="O500" s="33">
        <v>114309.077</v>
      </c>
      <c r="P500" s="36">
        <f>25+10+25</f>
        <v>60</v>
      </c>
      <c r="Q500" s="36">
        <v>0</v>
      </c>
      <c r="R500" s="37">
        <f>SUM(P500:Q500)</f>
        <v>60</v>
      </c>
      <c r="S500" s="36"/>
      <c r="T500" s="38">
        <v>29064</v>
      </c>
    </row>
    <row r="501" spans="2:20" ht="15.6" x14ac:dyDescent="0.3">
      <c r="B501" s="25"/>
      <c r="C501" s="25"/>
      <c r="D501" s="25"/>
      <c r="E501" s="25"/>
      <c r="F501" s="25"/>
      <c r="G501" s="40"/>
      <c r="H501" s="41"/>
      <c r="I501" s="27"/>
      <c r="J501" s="27"/>
      <c r="K501" s="27"/>
      <c r="L501" s="27"/>
      <c r="M501" s="27"/>
      <c r="N501" s="42"/>
      <c r="O501" s="27"/>
      <c r="P501" s="27"/>
      <c r="Q501" s="27"/>
      <c r="R501" s="42"/>
      <c r="S501" s="27"/>
      <c r="T501" s="27"/>
    </row>
    <row r="502" spans="2:20" ht="15.6" x14ac:dyDescent="0.3">
      <c r="B502" s="44">
        <f>COUNT(B497:B501)</f>
        <v>4</v>
      </c>
      <c r="C502" s="44"/>
      <c r="D502" s="45"/>
      <c r="E502" s="45"/>
      <c r="F502" s="45">
        <f>SUM(F497:F501)</f>
        <v>74391.696039999995</v>
      </c>
      <c r="G502" s="46"/>
      <c r="H502" s="47">
        <f t="shared" ref="H502:O502" si="106">SUM(H497:H501)</f>
        <v>7439.1696040000006</v>
      </c>
      <c r="I502" s="45">
        <f t="shared" si="106"/>
        <v>2197829.2960000001</v>
      </c>
      <c r="J502" s="45">
        <f t="shared" si="106"/>
        <v>3034162.895</v>
      </c>
      <c r="K502" s="45">
        <f t="shared" si="106"/>
        <v>999614.32700000005</v>
      </c>
      <c r="L502" s="45">
        <f t="shared" si="106"/>
        <v>14934.204000000002</v>
      </c>
      <c r="M502" s="45">
        <f t="shared" si="106"/>
        <v>616841.75699999998</v>
      </c>
      <c r="N502" s="48">
        <f t="shared" si="106"/>
        <v>177117.28699999995</v>
      </c>
      <c r="O502" s="45">
        <f t="shared" si="106"/>
        <v>439724.47</v>
      </c>
      <c r="P502" s="49"/>
      <c r="Q502" s="49"/>
      <c r="R502" s="50"/>
      <c r="S502" s="49"/>
      <c r="T502" s="51">
        <f>SUM(T497:T501)</f>
        <v>74919</v>
      </c>
    </row>
    <row r="503" spans="2:20" ht="15.6" x14ac:dyDescent="0.3">
      <c r="B503" s="25"/>
      <c r="C503" s="25"/>
      <c r="D503" s="25"/>
      <c r="E503" s="25"/>
      <c r="F503" s="25"/>
      <c r="G503" s="40"/>
      <c r="H503" s="41"/>
      <c r="I503" s="27"/>
      <c r="J503" s="27"/>
      <c r="K503" s="27"/>
      <c r="L503" s="27"/>
      <c r="M503" s="27"/>
      <c r="N503" s="42"/>
      <c r="O503" s="27"/>
      <c r="P503" s="27"/>
      <c r="Q503" s="27"/>
      <c r="R503" s="42"/>
      <c r="S503" s="27"/>
      <c r="T503" s="27"/>
    </row>
    <row r="504" spans="2:20" ht="15.6" x14ac:dyDescent="0.3">
      <c r="B504" s="25"/>
      <c r="C504" s="25"/>
      <c r="D504" s="25"/>
      <c r="E504" s="25"/>
      <c r="F504" s="25"/>
      <c r="G504" s="40"/>
      <c r="H504" s="41"/>
      <c r="I504" s="27"/>
      <c r="J504" s="27"/>
      <c r="K504" s="27"/>
      <c r="L504" s="27"/>
      <c r="M504" s="27"/>
      <c r="N504" s="42"/>
      <c r="O504" s="27"/>
      <c r="P504" s="27"/>
      <c r="Q504" s="27"/>
      <c r="R504" s="42"/>
      <c r="S504" s="27"/>
      <c r="T504" s="27"/>
    </row>
    <row r="505" spans="2:20" ht="18" x14ac:dyDescent="0.35">
      <c r="B505" s="25"/>
      <c r="C505" s="29">
        <v>22</v>
      </c>
      <c r="D505" s="29" t="s">
        <v>733</v>
      </c>
      <c r="E505" s="55"/>
      <c r="F505" s="55"/>
      <c r="G505" s="40"/>
      <c r="H505" s="41"/>
      <c r="I505" s="27"/>
      <c r="J505" s="27"/>
      <c r="K505" s="27"/>
      <c r="L505" s="27"/>
      <c r="M505" s="27"/>
      <c r="N505" s="42"/>
      <c r="O505" s="27"/>
      <c r="P505" s="27"/>
      <c r="Q505" s="27"/>
      <c r="R505" s="42"/>
      <c r="S505" s="27"/>
      <c r="T505" s="27"/>
    </row>
    <row r="506" spans="2:20" ht="15.6" x14ac:dyDescent="0.3">
      <c r="B506" s="30">
        <v>1</v>
      </c>
      <c r="C506" s="30" t="s">
        <v>734</v>
      </c>
      <c r="D506" s="31" t="s">
        <v>735</v>
      </c>
      <c r="E506" s="32">
        <v>45473</v>
      </c>
      <c r="F506" s="33">
        <v>6048.7905799999999</v>
      </c>
      <c r="G506" s="34">
        <v>10</v>
      </c>
      <c r="H506" s="35">
        <f t="shared" ref="H506:H517" si="107">+F506/G506</f>
        <v>604.87905799999999</v>
      </c>
      <c r="I506" s="33">
        <v>28138.240000000002</v>
      </c>
      <c r="J506" s="33">
        <v>59987.317000000003</v>
      </c>
      <c r="K506" s="33">
        <v>13691.815000000001</v>
      </c>
      <c r="L506" s="33">
        <v>4582.384</v>
      </c>
      <c r="M506" s="33">
        <v>-7794.9110000000001</v>
      </c>
      <c r="N506" s="35">
        <f t="shared" ref="N506:N517" si="108">+M506-O506</f>
        <v>-2706.3460000000005</v>
      </c>
      <c r="O506" s="33">
        <v>-5088.5649999999996</v>
      </c>
      <c r="P506" s="36">
        <v>0</v>
      </c>
      <c r="Q506" s="36">
        <v>0</v>
      </c>
      <c r="R506" s="37">
        <f t="shared" ref="R506:R517" si="109">SUM(P506:Q506)</f>
        <v>0</v>
      </c>
      <c r="S506" s="36"/>
      <c r="T506" s="38">
        <v>6357</v>
      </c>
    </row>
    <row r="507" spans="2:20" ht="15.6" x14ac:dyDescent="0.3">
      <c r="B507" s="30">
        <f>+B506+1</f>
        <v>2</v>
      </c>
      <c r="C507" s="30" t="s">
        <v>736</v>
      </c>
      <c r="D507" s="31" t="s">
        <v>737</v>
      </c>
      <c r="E507" s="32">
        <v>45473</v>
      </c>
      <c r="F507" s="33">
        <v>9300.1589999999997</v>
      </c>
      <c r="G507" s="34">
        <v>10</v>
      </c>
      <c r="H507" s="35">
        <f t="shared" si="107"/>
        <v>930.01589999999999</v>
      </c>
      <c r="I507" s="33">
        <v>15706.977999999999</v>
      </c>
      <c r="J507" s="33">
        <v>40597.158000000003</v>
      </c>
      <c r="K507" s="33">
        <v>42749.652000000002</v>
      </c>
      <c r="L507" s="33">
        <v>3860.8249999999998</v>
      </c>
      <c r="M507" s="33">
        <v>-813.29200000000003</v>
      </c>
      <c r="N507" s="35">
        <f t="shared" si="108"/>
        <v>-680.822</v>
      </c>
      <c r="O507" s="33">
        <v>-132.47</v>
      </c>
      <c r="P507" s="36">
        <v>0</v>
      </c>
      <c r="Q507" s="36">
        <v>0</v>
      </c>
      <c r="R507" s="37">
        <f t="shared" si="109"/>
        <v>0</v>
      </c>
      <c r="S507" s="36"/>
      <c r="T507" s="38">
        <v>10998</v>
      </c>
    </row>
    <row r="508" spans="2:20" ht="15.6" x14ac:dyDescent="0.3">
      <c r="B508" s="30">
        <f>+B507+1</f>
        <v>3</v>
      </c>
      <c r="C508" s="30" t="s">
        <v>738</v>
      </c>
      <c r="D508" s="31" t="s">
        <v>739</v>
      </c>
      <c r="E508" s="32">
        <v>45473</v>
      </c>
      <c r="F508" s="33">
        <v>2970.11427</v>
      </c>
      <c r="G508" s="34">
        <v>10</v>
      </c>
      <c r="H508" s="35">
        <f t="shared" si="107"/>
        <v>297.01142700000003</v>
      </c>
      <c r="I508" s="33">
        <v>14226.001</v>
      </c>
      <c r="J508" s="33">
        <v>46839.906999999999</v>
      </c>
      <c r="K508" s="33">
        <v>38775.737000000001</v>
      </c>
      <c r="L508" s="33">
        <v>4772.4160000000002</v>
      </c>
      <c r="M508" s="33">
        <v>-5391.3959999999997</v>
      </c>
      <c r="N508" s="35">
        <f t="shared" si="108"/>
        <v>715.32700000000023</v>
      </c>
      <c r="O508" s="33">
        <v>-6106.723</v>
      </c>
      <c r="P508" s="36">
        <v>0</v>
      </c>
      <c r="Q508" s="36">
        <v>0</v>
      </c>
      <c r="R508" s="37">
        <f t="shared" si="109"/>
        <v>0</v>
      </c>
      <c r="S508" s="36"/>
      <c r="T508" s="38">
        <v>9012</v>
      </c>
    </row>
    <row r="509" spans="2:20" ht="15.6" x14ac:dyDescent="0.3">
      <c r="B509" s="30">
        <f t="shared" ref="B509:B517" si="110">+B508+1</f>
        <v>4</v>
      </c>
      <c r="C509" s="30" t="s">
        <v>740</v>
      </c>
      <c r="D509" s="31" t="s">
        <v>741</v>
      </c>
      <c r="E509" s="32">
        <v>45473</v>
      </c>
      <c r="F509" s="33">
        <v>114.72529</v>
      </c>
      <c r="G509" s="34">
        <v>10</v>
      </c>
      <c r="H509" s="35">
        <f t="shared" si="107"/>
        <v>11.472529</v>
      </c>
      <c r="I509" s="33">
        <v>335.54824500000001</v>
      </c>
      <c r="J509" s="33">
        <v>987.94446800000003</v>
      </c>
      <c r="K509" s="33">
        <v>3390.1750000000002</v>
      </c>
      <c r="L509" s="33">
        <v>65.605906000000004</v>
      </c>
      <c r="M509" s="33">
        <v>319.403257</v>
      </c>
      <c r="N509" s="35">
        <f t="shared" si="108"/>
        <v>200.73640999999998</v>
      </c>
      <c r="O509" s="33">
        <v>118.666847</v>
      </c>
      <c r="P509" s="36">
        <v>0</v>
      </c>
      <c r="Q509" s="36">
        <v>0</v>
      </c>
      <c r="R509" s="37">
        <f t="shared" si="109"/>
        <v>0</v>
      </c>
      <c r="S509" s="36"/>
      <c r="T509" s="38">
        <v>1166</v>
      </c>
    </row>
    <row r="510" spans="2:20" ht="15.6" x14ac:dyDescent="0.3">
      <c r="B510" s="30">
        <f t="shared" si="110"/>
        <v>5</v>
      </c>
      <c r="C510" s="30" t="s">
        <v>742</v>
      </c>
      <c r="D510" s="31" t="s">
        <v>743</v>
      </c>
      <c r="E510" s="32">
        <v>45473</v>
      </c>
      <c r="F510" s="33">
        <v>776.32491000000005</v>
      </c>
      <c r="G510" s="34">
        <v>10</v>
      </c>
      <c r="H510" s="35">
        <f t="shared" si="107"/>
        <v>77.632491000000002</v>
      </c>
      <c r="I510" s="33">
        <v>7716.049</v>
      </c>
      <c r="J510" s="33">
        <v>10498.151</v>
      </c>
      <c r="K510" s="33">
        <v>9111.6110000000008</v>
      </c>
      <c r="L510" s="33">
        <v>497.40300000000002</v>
      </c>
      <c r="M510" s="33">
        <v>2526.5749999999998</v>
      </c>
      <c r="N510" s="35">
        <f t="shared" si="108"/>
        <v>920.07199999999989</v>
      </c>
      <c r="O510" s="33">
        <v>1606.5029999999999</v>
      </c>
      <c r="P510" s="36">
        <f>20+35</f>
        <v>55</v>
      </c>
      <c r="Q510" s="36">
        <v>0</v>
      </c>
      <c r="R510" s="37">
        <f t="shared" si="109"/>
        <v>55</v>
      </c>
      <c r="S510" s="36"/>
      <c r="T510" s="38">
        <v>3225</v>
      </c>
    </row>
    <row r="511" spans="2:20" ht="15.6" x14ac:dyDescent="0.3">
      <c r="B511" s="30">
        <f t="shared" si="110"/>
        <v>6</v>
      </c>
      <c r="C511" s="30" t="s">
        <v>744</v>
      </c>
      <c r="D511" s="31" t="s">
        <v>745</v>
      </c>
      <c r="E511" s="32">
        <v>45473</v>
      </c>
      <c r="F511" s="33">
        <v>107.64</v>
      </c>
      <c r="G511" s="34">
        <v>10</v>
      </c>
      <c r="H511" s="35">
        <f t="shared" si="107"/>
        <v>10.763999999999999</v>
      </c>
      <c r="I511" s="33">
        <v>511.89</v>
      </c>
      <c r="J511" s="33">
        <v>2774.93</v>
      </c>
      <c r="K511" s="33">
        <v>1119.2639999999999</v>
      </c>
      <c r="L511" s="33">
        <v>167.55799999999999</v>
      </c>
      <c r="M511" s="33">
        <v>-314.12099999999998</v>
      </c>
      <c r="N511" s="35">
        <f t="shared" si="108"/>
        <v>36.282000000000039</v>
      </c>
      <c r="O511" s="33">
        <v>-350.40300000000002</v>
      </c>
      <c r="P511" s="36">
        <v>0</v>
      </c>
      <c r="Q511" s="36">
        <v>0</v>
      </c>
      <c r="R511" s="37">
        <f t="shared" si="109"/>
        <v>0</v>
      </c>
      <c r="S511" s="36"/>
      <c r="T511" s="38">
        <v>3643</v>
      </c>
    </row>
    <row r="512" spans="2:20" ht="15.6" x14ac:dyDescent="0.3">
      <c r="B512" s="30">
        <f t="shared" si="110"/>
        <v>7</v>
      </c>
      <c r="C512" s="30" t="s">
        <v>746</v>
      </c>
      <c r="D512" s="31" t="s">
        <v>747</v>
      </c>
      <c r="E512" s="32">
        <v>45473</v>
      </c>
      <c r="F512" s="33">
        <v>1318.8186000000001</v>
      </c>
      <c r="G512" s="34">
        <v>10</v>
      </c>
      <c r="H512" s="35">
        <f t="shared" si="107"/>
        <v>131.88186000000002</v>
      </c>
      <c r="I512" s="33">
        <v>18427.673999999999</v>
      </c>
      <c r="J512" s="33">
        <v>31637.653999999999</v>
      </c>
      <c r="K512" s="33">
        <v>29203.14</v>
      </c>
      <c r="L512" s="33">
        <v>1472.569</v>
      </c>
      <c r="M512" s="33">
        <v>1758.2570000000001</v>
      </c>
      <c r="N512" s="35">
        <f t="shared" si="108"/>
        <v>285.12599999999998</v>
      </c>
      <c r="O512" s="33">
        <v>1473.1310000000001</v>
      </c>
      <c r="P512" s="36">
        <f>20+35</f>
        <v>55</v>
      </c>
      <c r="Q512" s="36">
        <v>0</v>
      </c>
      <c r="R512" s="37">
        <f t="shared" si="109"/>
        <v>55</v>
      </c>
      <c r="S512" s="36"/>
      <c r="T512" s="38">
        <v>4177</v>
      </c>
    </row>
    <row r="513" spans="2:20" ht="15.6" x14ac:dyDescent="0.3">
      <c r="B513" s="30">
        <f t="shared" si="110"/>
        <v>8</v>
      </c>
      <c r="C513" s="30" t="s">
        <v>748</v>
      </c>
      <c r="D513" s="31" t="s">
        <v>749</v>
      </c>
      <c r="E513" s="32">
        <v>45473</v>
      </c>
      <c r="F513" s="33">
        <v>4350</v>
      </c>
      <c r="G513" s="34">
        <v>10</v>
      </c>
      <c r="H513" s="35">
        <f t="shared" si="107"/>
        <v>435</v>
      </c>
      <c r="I513" s="33">
        <v>23197.43</v>
      </c>
      <c r="J513" s="33">
        <v>44689.78</v>
      </c>
      <c r="K513" s="33">
        <v>69299.633000000002</v>
      </c>
      <c r="L513" s="33">
        <v>856.08799999999997</v>
      </c>
      <c r="M513" s="33">
        <v>4474.4319999999998</v>
      </c>
      <c r="N513" s="35">
        <f t="shared" si="108"/>
        <v>819.61799999999994</v>
      </c>
      <c r="O513" s="33">
        <v>3654.8139999999999</v>
      </c>
      <c r="P513" s="36">
        <f>25+30</f>
        <v>55</v>
      </c>
      <c r="Q513" s="36">
        <v>0</v>
      </c>
      <c r="R513" s="37">
        <f t="shared" si="109"/>
        <v>55</v>
      </c>
      <c r="S513" s="36"/>
      <c r="T513" s="38">
        <v>5623</v>
      </c>
    </row>
    <row r="514" spans="2:20" ht="15.6" x14ac:dyDescent="0.3">
      <c r="B514" s="30">
        <f t="shared" si="110"/>
        <v>9</v>
      </c>
      <c r="C514" s="30" t="s">
        <v>750</v>
      </c>
      <c r="D514" s="31" t="s">
        <v>751</v>
      </c>
      <c r="E514" s="32">
        <v>45473</v>
      </c>
      <c r="F514" s="33">
        <v>1443.43364</v>
      </c>
      <c r="G514" s="34">
        <v>10</v>
      </c>
      <c r="H514" s="35">
        <f t="shared" si="107"/>
        <v>144.34336400000001</v>
      </c>
      <c r="I514" s="33">
        <v>4149.7263759999996</v>
      </c>
      <c r="J514" s="33">
        <v>6222.6273570000003</v>
      </c>
      <c r="K514" s="33">
        <v>2271.6828639999999</v>
      </c>
      <c r="L514" s="33">
        <v>88.015394999999998</v>
      </c>
      <c r="M514" s="33">
        <v>-884.01097900000002</v>
      </c>
      <c r="N514" s="35">
        <f t="shared" si="108"/>
        <v>-62.322562000000062</v>
      </c>
      <c r="O514" s="33">
        <v>-821.68841699999996</v>
      </c>
      <c r="P514" s="36">
        <v>0</v>
      </c>
      <c r="Q514" s="36">
        <v>0</v>
      </c>
      <c r="R514" s="37">
        <f t="shared" si="109"/>
        <v>0</v>
      </c>
      <c r="S514" s="36"/>
      <c r="T514" s="38">
        <v>4974</v>
      </c>
    </row>
    <row r="515" spans="2:20" ht="15.6" x14ac:dyDescent="0.3">
      <c r="B515" s="30">
        <f t="shared" si="110"/>
        <v>10</v>
      </c>
      <c r="C515" s="30" t="s">
        <v>752</v>
      </c>
      <c r="D515" s="31" t="s">
        <v>753</v>
      </c>
      <c r="E515" s="32">
        <v>45657</v>
      </c>
      <c r="F515" s="33">
        <v>309</v>
      </c>
      <c r="G515" s="34">
        <v>10</v>
      </c>
      <c r="H515" s="35">
        <f t="shared" si="107"/>
        <v>30.9</v>
      </c>
      <c r="I515" s="33">
        <v>3973.3024230000001</v>
      </c>
      <c r="J515" s="33">
        <v>7331.0691150000002</v>
      </c>
      <c r="K515" s="33">
        <v>5775.5314550000003</v>
      </c>
      <c r="L515" s="33">
        <v>295.10817300000002</v>
      </c>
      <c r="M515" s="33">
        <v>94.433694000000003</v>
      </c>
      <c r="N515" s="35">
        <f t="shared" si="108"/>
        <v>38.519598999999999</v>
      </c>
      <c r="O515" s="33">
        <v>55.914095000000003</v>
      </c>
      <c r="P515" s="36">
        <v>0</v>
      </c>
      <c r="Q515" s="36">
        <v>0</v>
      </c>
      <c r="R515" s="37">
        <f t="shared" si="109"/>
        <v>0</v>
      </c>
      <c r="S515" s="84">
        <v>134.0909</v>
      </c>
      <c r="T515" s="38">
        <v>1760</v>
      </c>
    </row>
    <row r="516" spans="2:20" ht="15.6" x14ac:dyDescent="0.3">
      <c r="B516" s="30">
        <f t="shared" si="110"/>
        <v>11</v>
      </c>
      <c r="C516" s="30" t="s">
        <v>754</v>
      </c>
      <c r="D516" s="31" t="s">
        <v>755</v>
      </c>
      <c r="E516" s="32">
        <v>45473</v>
      </c>
      <c r="F516" s="33">
        <v>309.77600000000001</v>
      </c>
      <c r="G516" s="34">
        <v>10</v>
      </c>
      <c r="H516" s="35">
        <f t="shared" si="107"/>
        <v>30.977600000000002</v>
      </c>
      <c r="I516" s="33">
        <v>814.74599999999998</v>
      </c>
      <c r="J516" s="33">
        <v>890.06100000000004</v>
      </c>
      <c r="K516" s="33">
        <v>122.47499999999999</v>
      </c>
      <c r="L516" s="33">
        <v>0.192</v>
      </c>
      <c r="M516" s="33">
        <v>-25.285</v>
      </c>
      <c r="N516" s="35">
        <f t="shared" si="108"/>
        <v>-1.9430000000000014</v>
      </c>
      <c r="O516" s="33">
        <v>-23.341999999999999</v>
      </c>
      <c r="P516" s="36">
        <v>0</v>
      </c>
      <c r="Q516" s="36">
        <v>0</v>
      </c>
      <c r="R516" s="37">
        <f t="shared" si="109"/>
        <v>0</v>
      </c>
      <c r="S516" s="36"/>
      <c r="T516" s="38">
        <v>3609</v>
      </c>
    </row>
    <row r="517" spans="2:20" ht="15.6" x14ac:dyDescent="0.3">
      <c r="B517" s="30">
        <f t="shared" si="110"/>
        <v>12</v>
      </c>
      <c r="C517" s="30" t="s">
        <v>756</v>
      </c>
      <c r="D517" s="31" t="s">
        <v>757</v>
      </c>
      <c r="E517" s="32">
        <v>45473</v>
      </c>
      <c r="F517" s="33">
        <v>3356.3393299999998</v>
      </c>
      <c r="G517" s="34">
        <v>10</v>
      </c>
      <c r="H517" s="35">
        <f t="shared" si="107"/>
        <v>335.63393299999996</v>
      </c>
      <c r="I517" s="33">
        <v>26135.490610000001</v>
      </c>
      <c r="J517" s="33">
        <v>69077.171486000007</v>
      </c>
      <c r="K517" s="33">
        <v>92382.599828000006</v>
      </c>
      <c r="L517" s="33">
        <v>6364.0389789999999</v>
      </c>
      <c r="M517" s="33">
        <v>-89.861001000000002</v>
      </c>
      <c r="N517" s="35">
        <f t="shared" si="108"/>
        <v>-2089.7497120000003</v>
      </c>
      <c r="O517" s="33">
        <v>1999.8887110000001</v>
      </c>
      <c r="P517" s="36">
        <v>0</v>
      </c>
      <c r="Q517" s="36">
        <v>0</v>
      </c>
      <c r="R517" s="37">
        <f t="shared" si="109"/>
        <v>0</v>
      </c>
      <c r="S517" s="36"/>
      <c r="T517" s="38">
        <v>6014</v>
      </c>
    </row>
    <row r="518" spans="2:20" ht="15.6" x14ac:dyDescent="0.3">
      <c r="B518" s="25"/>
      <c r="C518" s="25"/>
      <c r="D518" s="25"/>
      <c r="E518" s="25"/>
      <c r="F518" s="25"/>
      <c r="G518" s="40"/>
      <c r="H518" s="41"/>
      <c r="I518" s="27"/>
      <c r="J518" s="27"/>
      <c r="K518" s="27"/>
      <c r="L518" s="27"/>
      <c r="M518" s="27"/>
      <c r="N518" s="42"/>
      <c r="O518" s="27"/>
      <c r="P518" s="27"/>
      <c r="Q518" s="27"/>
      <c r="R518" s="42"/>
      <c r="S518" s="27"/>
      <c r="T518" s="27"/>
    </row>
    <row r="519" spans="2:20" ht="18" x14ac:dyDescent="0.35">
      <c r="B519" s="25"/>
      <c r="C519" s="25"/>
      <c r="D519" s="53" t="s">
        <v>1127</v>
      </c>
      <c r="E519" s="25"/>
      <c r="F519" s="25"/>
      <c r="G519" s="40"/>
      <c r="H519" s="41"/>
      <c r="I519" s="27"/>
      <c r="J519" s="27"/>
      <c r="K519" s="27"/>
      <c r="L519" s="27"/>
      <c r="M519" s="27"/>
      <c r="N519" s="42"/>
      <c r="O519" s="27"/>
      <c r="P519" s="27"/>
      <c r="Q519" s="27"/>
      <c r="R519" s="42"/>
      <c r="S519" s="27"/>
      <c r="T519" s="27"/>
    </row>
    <row r="520" spans="2:20" ht="15.6" x14ac:dyDescent="0.3">
      <c r="B520" s="30">
        <v>1</v>
      </c>
      <c r="C520" s="54" t="s">
        <v>758</v>
      </c>
      <c r="D520" s="31" t="s">
        <v>759</v>
      </c>
      <c r="E520" s="32">
        <v>45473</v>
      </c>
      <c r="F520" s="33">
        <v>1249.6251</v>
      </c>
      <c r="G520" s="34">
        <v>10</v>
      </c>
      <c r="H520" s="35">
        <f>+F520/G520</f>
        <v>124.96250999999999</v>
      </c>
      <c r="I520" s="33">
        <v>3085.0470949999999</v>
      </c>
      <c r="J520" s="33">
        <v>7168.5973389999999</v>
      </c>
      <c r="K520" s="33">
        <v>3098.0168760000001</v>
      </c>
      <c r="L520" s="33">
        <v>5.2229049999999999</v>
      </c>
      <c r="M520" s="33">
        <v>2.1912150000000001</v>
      </c>
      <c r="N520" s="35">
        <f>+M520-O520</f>
        <v>94.735108999999994</v>
      </c>
      <c r="O520" s="33">
        <v>-92.543893999999995</v>
      </c>
      <c r="P520" s="36">
        <v>0</v>
      </c>
      <c r="Q520" s="36">
        <v>0</v>
      </c>
      <c r="R520" s="37">
        <f>SUM(P520:Q520)</f>
        <v>0</v>
      </c>
      <c r="S520" s="36"/>
      <c r="T520" s="38">
        <v>1241</v>
      </c>
    </row>
    <row r="521" spans="2:20" ht="15.6" x14ac:dyDescent="0.3">
      <c r="B521" s="30">
        <f>+B520+1</f>
        <v>2</v>
      </c>
      <c r="C521" s="30" t="s">
        <v>760</v>
      </c>
      <c r="D521" s="31" t="s">
        <v>761</v>
      </c>
      <c r="E521" s="32">
        <v>45473</v>
      </c>
      <c r="F521" s="33">
        <v>4446.9557699999996</v>
      </c>
      <c r="G521" s="34">
        <v>10</v>
      </c>
      <c r="H521" s="35">
        <f>+F521/G521</f>
        <v>444.69557699999996</v>
      </c>
      <c r="I521" s="33">
        <v>311.64856700000001</v>
      </c>
      <c r="J521" s="33">
        <v>2593.1823300000001</v>
      </c>
      <c r="K521" s="33">
        <v>0</v>
      </c>
      <c r="L521" s="33">
        <v>177.22002000000001</v>
      </c>
      <c r="M521" s="33">
        <v>-242.23592300000001</v>
      </c>
      <c r="N521" s="35">
        <f>+M521-O521</f>
        <v>0</v>
      </c>
      <c r="O521" s="33">
        <v>-242.23592300000001</v>
      </c>
      <c r="P521" s="36">
        <v>0</v>
      </c>
      <c r="Q521" s="36">
        <v>0</v>
      </c>
      <c r="R521" s="37">
        <f>SUM(P521:Q521)</f>
        <v>0</v>
      </c>
      <c r="S521" s="36"/>
      <c r="T521" s="38">
        <v>11210</v>
      </c>
    </row>
    <row r="522" spans="2:20" ht="15.6" x14ac:dyDescent="0.3">
      <c r="B522" s="30">
        <f t="shared" ref="B522:B523" si="111">+B521+1</f>
        <v>3</v>
      </c>
      <c r="C522" s="30" t="s">
        <v>762</v>
      </c>
      <c r="D522" s="31" t="s">
        <v>763</v>
      </c>
      <c r="E522" s="32">
        <v>45473</v>
      </c>
      <c r="F522" s="33"/>
      <c r="G522" s="34">
        <v>10</v>
      </c>
      <c r="H522" s="35">
        <f>+F522/G522</f>
        <v>0</v>
      </c>
      <c r="I522" s="33"/>
      <c r="J522" s="33"/>
      <c r="K522" s="33"/>
      <c r="L522" s="33"/>
      <c r="M522" s="33"/>
      <c r="N522" s="35">
        <f>+M522-O522</f>
        <v>0</v>
      </c>
      <c r="O522" s="33"/>
      <c r="P522" s="36"/>
      <c r="Q522" s="36"/>
      <c r="R522" s="37">
        <f>SUM(P522:Q522)</f>
        <v>0</v>
      </c>
      <c r="S522" s="36"/>
      <c r="T522" s="38"/>
    </row>
    <row r="523" spans="2:20" ht="15.6" x14ac:dyDescent="0.3">
      <c r="B523" s="30">
        <f t="shared" si="111"/>
        <v>4</v>
      </c>
      <c r="C523" s="30" t="s">
        <v>764</v>
      </c>
      <c r="D523" s="31" t="s">
        <v>765</v>
      </c>
      <c r="E523" s="32">
        <v>45473</v>
      </c>
      <c r="F523" s="33">
        <v>56.902000000000001</v>
      </c>
      <c r="G523" s="34">
        <v>10</v>
      </c>
      <c r="H523" s="35">
        <f>+F523/G523</f>
        <v>5.6901999999999999</v>
      </c>
      <c r="I523" s="33"/>
      <c r="J523" s="33"/>
      <c r="K523" s="33"/>
      <c r="L523" s="33"/>
      <c r="M523" s="33"/>
      <c r="N523" s="35">
        <f>+M523-O523</f>
        <v>0</v>
      </c>
      <c r="O523" s="33"/>
      <c r="P523" s="36"/>
      <c r="Q523" s="36"/>
      <c r="R523" s="37">
        <f>SUM(P523:Q523)</f>
        <v>0</v>
      </c>
      <c r="S523" s="36">
        <v>50</v>
      </c>
      <c r="T523" s="38"/>
    </row>
    <row r="524" spans="2:20" ht="15.6" x14ac:dyDescent="0.3">
      <c r="B524" s="25"/>
      <c r="C524" s="25"/>
      <c r="D524" s="25"/>
      <c r="E524" s="25"/>
      <c r="F524" s="25"/>
      <c r="G524" s="40"/>
      <c r="H524" s="41"/>
      <c r="I524" s="27"/>
      <c r="J524" s="27"/>
      <c r="K524" s="27"/>
      <c r="L524" s="27"/>
      <c r="M524" s="27"/>
      <c r="N524" s="42"/>
      <c r="O524" s="27"/>
      <c r="P524" s="27"/>
      <c r="Q524" s="27"/>
      <c r="R524" s="42"/>
      <c r="S524" s="27"/>
      <c r="T524" s="27"/>
    </row>
    <row r="525" spans="2:20" ht="15.6" x14ac:dyDescent="0.3">
      <c r="B525" s="44">
        <f>COUNT(B506:B524)</f>
        <v>16</v>
      </c>
      <c r="C525" s="44"/>
      <c r="D525" s="45"/>
      <c r="E525" s="45"/>
      <c r="F525" s="45">
        <f>SUM(F506:F524)</f>
        <v>36158.604489999998</v>
      </c>
      <c r="G525" s="46"/>
      <c r="H525" s="47">
        <f t="shared" ref="H525:O525" si="112">SUM(H506:H524)</f>
        <v>3615.8604489999998</v>
      </c>
      <c r="I525" s="45">
        <f t="shared" si="112"/>
        <v>146729.771316</v>
      </c>
      <c r="J525" s="45">
        <f t="shared" si="112"/>
        <v>331295.55009499996</v>
      </c>
      <c r="K525" s="45">
        <f t="shared" si="112"/>
        <v>310991.33302299998</v>
      </c>
      <c r="L525" s="45">
        <f t="shared" si="112"/>
        <v>23204.646377999998</v>
      </c>
      <c r="M525" s="45">
        <f t="shared" si="112"/>
        <v>-6379.8207369999991</v>
      </c>
      <c r="N525" s="48">
        <f t="shared" si="112"/>
        <v>-2430.7671560000008</v>
      </c>
      <c r="O525" s="45">
        <f t="shared" si="112"/>
        <v>-3949.0535809999992</v>
      </c>
      <c r="P525" s="49"/>
      <c r="Q525" s="49"/>
      <c r="R525" s="50"/>
      <c r="S525" s="49"/>
      <c r="T525" s="51">
        <f>SUM(T506:T524)</f>
        <v>73009</v>
      </c>
    </row>
    <row r="526" spans="2:20" ht="15.6" x14ac:dyDescent="0.3">
      <c r="B526" s="25"/>
      <c r="C526" s="25"/>
      <c r="D526" s="25"/>
      <c r="E526" s="25"/>
      <c r="F526" s="25"/>
      <c r="G526" s="40"/>
      <c r="H526" s="41"/>
      <c r="I526" s="27"/>
      <c r="J526" s="27"/>
      <c r="K526" s="27"/>
      <c r="L526" s="27"/>
      <c r="M526" s="27"/>
      <c r="N526" s="42"/>
      <c r="O526" s="27"/>
      <c r="P526" s="27"/>
      <c r="Q526" s="27"/>
      <c r="R526" s="42"/>
      <c r="S526" s="27"/>
      <c r="T526" s="27"/>
    </row>
    <row r="527" spans="2:20" ht="15.6" x14ac:dyDescent="0.3">
      <c r="B527" s="25"/>
      <c r="C527" s="25"/>
      <c r="D527" s="25"/>
      <c r="E527" s="25"/>
      <c r="F527" s="25"/>
      <c r="G527" s="40"/>
      <c r="H527" s="41"/>
      <c r="I527" s="27"/>
      <c r="J527" s="27"/>
      <c r="K527" s="27"/>
      <c r="L527" s="27"/>
      <c r="M527" s="27"/>
      <c r="N527" s="42"/>
      <c r="O527" s="27"/>
      <c r="P527" s="27"/>
      <c r="Q527" s="27"/>
      <c r="R527" s="42"/>
      <c r="S527" s="27"/>
      <c r="T527" s="27"/>
    </row>
    <row r="528" spans="2:20" ht="18" x14ac:dyDescent="0.35">
      <c r="B528" s="25"/>
      <c r="C528" s="29">
        <v>23</v>
      </c>
      <c r="D528" s="29" t="s">
        <v>766</v>
      </c>
      <c r="E528" s="55"/>
      <c r="F528" s="55"/>
      <c r="G528" s="40"/>
      <c r="H528" s="41"/>
      <c r="I528" s="27"/>
      <c r="J528" s="27"/>
      <c r="K528" s="27"/>
      <c r="L528" s="27"/>
      <c r="M528" s="27"/>
      <c r="N528" s="42"/>
      <c r="O528" s="27"/>
      <c r="P528" s="27"/>
      <c r="Q528" s="27"/>
      <c r="R528" s="42"/>
      <c r="S528" s="27"/>
      <c r="T528" s="27"/>
    </row>
    <row r="529" spans="2:20" ht="15.6" x14ac:dyDescent="0.3">
      <c r="B529" s="25"/>
      <c r="C529" s="25"/>
      <c r="D529" s="25"/>
      <c r="E529" s="25"/>
      <c r="F529" s="25"/>
      <c r="G529" s="40"/>
      <c r="H529" s="41"/>
      <c r="I529" s="27"/>
      <c r="J529" s="27"/>
      <c r="K529" s="27"/>
      <c r="L529" s="27"/>
      <c r="M529" s="27"/>
      <c r="N529" s="42"/>
      <c r="O529" s="27"/>
      <c r="P529" s="27"/>
      <c r="Q529" s="27"/>
      <c r="R529" s="42"/>
      <c r="S529" s="27"/>
      <c r="T529" s="27"/>
    </row>
    <row r="530" spans="2:20" ht="15.6" x14ac:dyDescent="0.3">
      <c r="B530" s="30">
        <v>1</v>
      </c>
      <c r="C530" s="30" t="s">
        <v>767</v>
      </c>
      <c r="D530" s="31" t="s">
        <v>768</v>
      </c>
      <c r="E530" s="32">
        <v>45657</v>
      </c>
      <c r="F530" s="33">
        <v>289.82105000000001</v>
      </c>
      <c r="G530" s="34">
        <v>5</v>
      </c>
      <c r="H530" s="35">
        <f t="shared" ref="H530:H539" si="113">+F530/G530</f>
        <v>57.964210000000001</v>
      </c>
      <c r="I530" s="33">
        <v>9196.9130000000005</v>
      </c>
      <c r="J530" s="33">
        <v>20391.741999999998</v>
      </c>
      <c r="K530" s="33">
        <v>34574.43</v>
      </c>
      <c r="L530" s="33">
        <v>446.77499999999998</v>
      </c>
      <c r="M530" s="33">
        <v>5706.4740000000002</v>
      </c>
      <c r="N530" s="35">
        <f t="shared" ref="N530:N539" si="114">+M530-O530</f>
        <v>2164.1990000000001</v>
      </c>
      <c r="O530" s="33">
        <v>3542.2750000000001</v>
      </c>
      <c r="P530" s="36">
        <v>0</v>
      </c>
      <c r="Q530" s="36">
        <v>0</v>
      </c>
      <c r="R530" s="37">
        <f t="shared" ref="R530:R539" si="115">SUM(P530:Q530)</f>
        <v>0</v>
      </c>
      <c r="S530" s="36"/>
      <c r="T530" s="38">
        <v>2801</v>
      </c>
    </row>
    <row r="531" spans="2:20" ht="15.6" x14ac:dyDescent="0.3">
      <c r="B531" s="30">
        <f>+B530+1</f>
        <v>2</v>
      </c>
      <c r="C531" s="30" t="s">
        <v>769</v>
      </c>
      <c r="D531" s="31" t="s">
        <v>770</v>
      </c>
      <c r="E531" s="32">
        <v>45382</v>
      </c>
      <c r="F531" s="33">
        <f>124.087935*G531</f>
        <v>1240.8793499999999</v>
      </c>
      <c r="G531" s="34">
        <v>10</v>
      </c>
      <c r="H531" s="35">
        <f t="shared" si="113"/>
        <v>124.08793499999999</v>
      </c>
      <c r="I531" s="33">
        <v>28767.569</v>
      </c>
      <c r="J531" s="33">
        <v>75943.752999999997</v>
      </c>
      <c r="K531" s="33">
        <v>159292.22899999999</v>
      </c>
      <c r="L531" s="33">
        <v>102.099</v>
      </c>
      <c r="M531" s="33">
        <v>15738.098</v>
      </c>
      <c r="N531" s="35">
        <f t="shared" si="114"/>
        <v>6030.0529999999999</v>
      </c>
      <c r="O531" s="33">
        <v>9708.0450000000001</v>
      </c>
      <c r="P531" s="36">
        <f>170+300</f>
        <v>470</v>
      </c>
      <c r="Q531" s="36">
        <v>0</v>
      </c>
      <c r="R531" s="37">
        <f t="shared" si="115"/>
        <v>470</v>
      </c>
      <c r="S531" s="36"/>
      <c r="T531" s="38">
        <v>1694</v>
      </c>
    </row>
    <row r="532" spans="2:20" ht="15.6" x14ac:dyDescent="0.3">
      <c r="B532" s="30">
        <f t="shared" ref="B532:B539" si="116">+B531+1</f>
        <v>3</v>
      </c>
      <c r="C532" s="30" t="s">
        <v>771</v>
      </c>
      <c r="D532" s="31" t="s">
        <v>772</v>
      </c>
      <c r="E532" s="32">
        <v>45473</v>
      </c>
      <c r="F532" s="33">
        <v>1387.3530000000001</v>
      </c>
      <c r="G532" s="34">
        <v>10</v>
      </c>
      <c r="H532" s="35">
        <f>+F532/G532</f>
        <v>138.7353</v>
      </c>
      <c r="I532" s="33">
        <v>-3699.8870000000002</v>
      </c>
      <c r="J532" s="33">
        <v>3962.6239999999998</v>
      </c>
      <c r="K532" s="33">
        <v>9.9529999999999994</v>
      </c>
      <c r="L532" s="33">
        <v>0.2</v>
      </c>
      <c r="M532" s="33">
        <v>-457.84699999999998</v>
      </c>
      <c r="N532" s="35">
        <f>+M532-O532</f>
        <v>0</v>
      </c>
      <c r="O532" s="33">
        <v>-457.84699999999998</v>
      </c>
      <c r="P532" s="36">
        <v>0</v>
      </c>
      <c r="Q532" s="36">
        <v>0</v>
      </c>
      <c r="R532" s="37">
        <f>SUM(P532:Q532)</f>
        <v>0</v>
      </c>
      <c r="S532" s="36"/>
      <c r="T532" s="38">
        <v>7074</v>
      </c>
    </row>
    <row r="533" spans="2:20" ht="15.6" x14ac:dyDescent="0.3">
      <c r="B533" s="30">
        <f t="shared" si="116"/>
        <v>4</v>
      </c>
      <c r="C533" s="30" t="s">
        <v>773</v>
      </c>
      <c r="D533" s="31" t="s">
        <v>774</v>
      </c>
      <c r="E533" s="32">
        <v>45473</v>
      </c>
      <c r="F533" s="33">
        <v>426.08843999999999</v>
      </c>
      <c r="G533" s="34">
        <v>10</v>
      </c>
      <c r="H533" s="35">
        <f t="shared" si="113"/>
        <v>42.608843999999998</v>
      </c>
      <c r="I533" s="33">
        <v>8984.2520000000004</v>
      </c>
      <c r="J533" s="33">
        <v>18057.048999999999</v>
      </c>
      <c r="K533" s="33">
        <v>14666.195</v>
      </c>
      <c r="L533" s="33">
        <v>519.24199999999996</v>
      </c>
      <c r="M533" s="33">
        <v>1066.635</v>
      </c>
      <c r="N533" s="35">
        <f t="shared" si="114"/>
        <v>285.22299999999996</v>
      </c>
      <c r="O533" s="33">
        <v>781.41200000000003</v>
      </c>
      <c r="P533" s="36">
        <v>0</v>
      </c>
      <c r="Q533" s="36">
        <v>0</v>
      </c>
      <c r="R533" s="37">
        <f t="shared" si="115"/>
        <v>0</v>
      </c>
      <c r="S533" s="36"/>
      <c r="T533" s="38">
        <v>8166</v>
      </c>
    </row>
    <row r="534" spans="2:20" ht="15.6" x14ac:dyDescent="0.3">
      <c r="B534" s="30">
        <f t="shared" si="116"/>
        <v>5</v>
      </c>
      <c r="C534" s="30" t="s">
        <v>775</v>
      </c>
      <c r="D534" s="31" t="s">
        <v>776</v>
      </c>
      <c r="E534" s="32">
        <v>45473</v>
      </c>
      <c r="F534" s="33">
        <v>570.02499999999998</v>
      </c>
      <c r="G534" s="34">
        <v>10</v>
      </c>
      <c r="H534" s="35">
        <f t="shared" si="113"/>
        <v>57.002499999999998</v>
      </c>
      <c r="I534" s="33">
        <v>8099.1469999999999</v>
      </c>
      <c r="J534" s="33">
        <v>12368.861999999999</v>
      </c>
      <c r="K534" s="33">
        <v>5385.0659999999998</v>
      </c>
      <c r="L534" s="33">
        <v>349.36</v>
      </c>
      <c r="M534" s="33">
        <v>-322.03199999999998</v>
      </c>
      <c r="N534" s="35">
        <f t="shared" si="114"/>
        <v>-63.225999999999999</v>
      </c>
      <c r="O534" s="33">
        <v>-258.80599999999998</v>
      </c>
      <c r="P534" s="36">
        <v>0</v>
      </c>
      <c r="Q534" s="36">
        <v>0</v>
      </c>
      <c r="R534" s="37">
        <f t="shared" si="115"/>
        <v>0</v>
      </c>
      <c r="S534" s="36"/>
      <c r="T534" s="38">
        <v>6488</v>
      </c>
    </row>
    <row r="535" spans="2:20" ht="15.6" x14ac:dyDescent="0.3">
      <c r="B535" s="30">
        <f t="shared" si="116"/>
        <v>6</v>
      </c>
      <c r="C535" s="30" t="s">
        <v>777</v>
      </c>
      <c r="D535" s="31" t="s">
        <v>778</v>
      </c>
      <c r="E535" s="32">
        <v>45382</v>
      </c>
      <c r="F535" s="33">
        <v>1428</v>
      </c>
      <c r="G535" s="34">
        <v>10</v>
      </c>
      <c r="H535" s="35">
        <f t="shared" si="113"/>
        <v>142.80000000000001</v>
      </c>
      <c r="I535" s="33">
        <v>21655.018</v>
      </c>
      <c r="J535" s="33">
        <v>49830.264999999999</v>
      </c>
      <c r="K535" s="33">
        <v>55071.322999999997</v>
      </c>
      <c r="L535" s="33">
        <v>1218.9960000000001</v>
      </c>
      <c r="M535" s="33">
        <v>2752.7429999999999</v>
      </c>
      <c r="N535" s="35">
        <f t="shared" si="114"/>
        <v>418.84799999999996</v>
      </c>
      <c r="O535" s="33">
        <v>2333.895</v>
      </c>
      <c r="P535" s="36">
        <v>65</v>
      </c>
      <c r="Q535" s="36">
        <v>0</v>
      </c>
      <c r="R535" s="37">
        <f t="shared" si="115"/>
        <v>65</v>
      </c>
      <c r="S535" s="36"/>
      <c r="T535" s="38">
        <v>7871</v>
      </c>
    </row>
    <row r="536" spans="2:20" ht="15.6" x14ac:dyDescent="0.3">
      <c r="B536" s="30">
        <f t="shared" si="116"/>
        <v>7</v>
      </c>
      <c r="C536" s="30" t="s">
        <v>779</v>
      </c>
      <c r="D536" s="31" t="s">
        <v>780</v>
      </c>
      <c r="E536" s="32">
        <v>45382</v>
      </c>
      <c r="F536" s="33">
        <v>248.0112</v>
      </c>
      <c r="G536" s="34">
        <v>10</v>
      </c>
      <c r="H536" s="35">
        <f t="shared" si="113"/>
        <v>24.801120000000001</v>
      </c>
      <c r="I536" s="33">
        <v>5295.7049999999999</v>
      </c>
      <c r="J536" s="33">
        <v>9956.8230000000003</v>
      </c>
      <c r="K536" s="33">
        <v>7622.7089999999998</v>
      </c>
      <c r="L536" s="33">
        <v>239.31299999999999</v>
      </c>
      <c r="M536" s="33">
        <v>-36.405000000000001</v>
      </c>
      <c r="N536" s="35">
        <f t="shared" si="114"/>
        <v>94.693000000000012</v>
      </c>
      <c r="O536" s="33">
        <v>-131.09800000000001</v>
      </c>
      <c r="P536" s="36">
        <v>0</v>
      </c>
      <c r="Q536" s="36">
        <v>0</v>
      </c>
      <c r="R536" s="37">
        <f t="shared" si="115"/>
        <v>0</v>
      </c>
      <c r="S536" s="36"/>
      <c r="T536" s="38">
        <v>1659</v>
      </c>
    </row>
    <row r="537" spans="2:20" ht="15.6" x14ac:dyDescent="0.3">
      <c r="B537" s="30">
        <f t="shared" si="116"/>
        <v>8</v>
      </c>
      <c r="C537" s="30" t="s">
        <v>781</v>
      </c>
      <c r="D537" s="31" t="s">
        <v>782</v>
      </c>
      <c r="E537" s="32">
        <v>45473</v>
      </c>
      <c r="F537" s="33">
        <f>78.6*G537</f>
        <v>786</v>
      </c>
      <c r="G537" s="34">
        <v>10</v>
      </c>
      <c r="H537" s="35">
        <f t="shared" si="113"/>
        <v>78.599999999999994</v>
      </c>
      <c r="I537" s="33">
        <v>67226.442999999999</v>
      </c>
      <c r="J537" s="33">
        <v>145819.65100000001</v>
      </c>
      <c r="K537" s="33">
        <v>152481.02499999999</v>
      </c>
      <c r="L537" s="33">
        <v>170.291</v>
      </c>
      <c r="M537" s="33">
        <v>22712.87</v>
      </c>
      <c r="N537" s="35">
        <f t="shared" si="114"/>
        <v>7640.4439999999995</v>
      </c>
      <c r="O537" s="33">
        <v>15072.425999999999</v>
      </c>
      <c r="P537" s="36">
        <f>245+132+340+430</f>
        <v>1147</v>
      </c>
      <c r="Q537" s="36">
        <v>0</v>
      </c>
      <c r="R537" s="37">
        <f t="shared" si="115"/>
        <v>1147</v>
      </c>
      <c r="S537" s="36"/>
      <c r="T537" s="38">
        <v>4109</v>
      </c>
    </row>
    <row r="538" spans="2:20" ht="15.6" x14ac:dyDescent="0.3">
      <c r="B538" s="30">
        <f t="shared" si="116"/>
        <v>9</v>
      </c>
      <c r="C538" s="30" t="s">
        <v>783</v>
      </c>
      <c r="D538" s="31" t="s">
        <v>784</v>
      </c>
      <c r="E538" s="32">
        <v>45473</v>
      </c>
      <c r="F538" s="33">
        <v>1917.9822899999999</v>
      </c>
      <c r="G538" s="34">
        <v>10</v>
      </c>
      <c r="H538" s="35">
        <f t="shared" si="113"/>
        <v>191.79822899999999</v>
      </c>
      <c r="I538" s="33">
        <v>9762.0460000000003</v>
      </c>
      <c r="J538" s="33">
        <v>30360.004000000001</v>
      </c>
      <c r="K538" s="33">
        <v>91508.626000000004</v>
      </c>
      <c r="L538" s="33">
        <v>1068.164</v>
      </c>
      <c r="M538" s="33">
        <v>16250.369000000001</v>
      </c>
      <c r="N538" s="35">
        <f t="shared" si="114"/>
        <v>6333.764000000001</v>
      </c>
      <c r="O538" s="33">
        <v>9916.6049999999996</v>
      </c>
      <c r="P538" s="36">
        <f>250</f>
        <v>250</v>
      </c>
      <c r="Q538" s="36">
        <v>0</v>
      </c>
      <c r="R538" s="37">
        <f t="shared" si="115"/>
        <v>250</v>
      </c>
      <c r="S538" s="36"/>
      <c r="T538" s="38">
        <v>10003</v>
      </c>
    </row>
    <row r="539" spans="2:20" ht="15.6" x14ac:dyDescent="0.3">
      <c r="B539" s="30">
        <f t="shared" si="116"/>
        <v>10</v>
      </c>
      <c r="C539" s="30" t="s">
        <v>785</v>
      </c>
      <c r="D539" s="31" t="s">
        <v>786</v>
      </c>
      <c r="E539" s="32">
        <v>45473</v>
      </c>
      <c r="F539" s="33">
        <v>604.45964000000004</v>
      </c>
      <c r="G539" s="34">
        <v>10</v>
      </c>
      <c r="H539" s="35">
        <f t="shared" si="113"/>
        <v>60.445964000000004</v>
      </c>
      <c r="I539" s="33">
        <v>10104.086687000001</v>
      </c>
      <c r="J539" s="33">
        <v>29226.022904000001</v>
      </c>
      <c r="K539" s="33">
        <v>57642.468564000003</v>
      </c>
      <c r="L539" s="33">
        <v>168.91134299999999</v>
      </c>
      <c r="M539" s="33">
        <v>13115.344825</v>
      </c>
      <c r="N539" s="35">
        <f t="shared" si="114"/>
        <v>5179.6682490000003</v>
      </c>
      <c r="O539" s="33">
        <v>7935.6765759999998</v>
      </c>
      <c r="P539" s="36">
        <f>80+120</f>
        <v>200</v>
      </c>
      <c r="Q539" s="36">
        <v>0</v>
      </c>
      <c r="R539" s="37">
        <f t="shared" si="115"/>
        <v>200</v>
      </c>
      <c r="S539" s="36"/>
      <c r="T539" s="38">
        <v>5009</v>
      </c>
    </row>
    <row r="540" spans="2:20" ht="15.6" x14ac:dyDescent="0.3">
      <c r="B540" s="57"/>
      <c r="C540" s="57"/>
      <c r="D540" s="58"/>
      <c r="E540" s="59"/>
      <c r="F540" s="60"/>
      <c r="G540" s="40"/>
      <c r="H540" s="61"/>
      <c r="I540" s="60"/>
      <c r="J540" s="60"/>
      <c r="K540" s="60"/>
      <c r="L540" s="60"/>
      <c r="M540" s="60"/>
      <c r="N540" s="61"/>
      <c r="O540" s="60"/>
      <c r="P540" s="62"/>
      <c r="Q540" s="62"/>
      <c r="R540" s="63"/>
      <c r="S540" s="62"/>
      <c r="T540" s="64"/>
    </row>
    <row r="541" spans="2:20" ht="15.6" x14ac:dyDescent="0.3">
      <c r="B541" s="44">
        <f>COUNT(B530:B540)</f>
        <v>10</v>
      </c>
      <c r="C541" s="44"/>
      <c r="D541" s="45"/>
      <c r="E541" s="45"/>
      <c r="F541" s="45">
        <f>SUM(F530:F540)</f>
        <v>8898.6199699999997</v>
      </c>
      <c r="G541" s="46"/>
      <c r="H541" s="47">
        <f t="shared" ref="H541:O541" si="117">SUM(H530:H540)</f>
        <v>918.84410200000002</v>
      </c>
      <c r="I541" s="45">
        <f t="shared" si="117"/>
        <v>165391.29268700001</v>
      </c>
      <c r="J541" s="45">
        <f t="shared" si="117"/>
        <v>395916.795904</v>
      </c>
      <c r="K541" s="45">
        <f t="shared" si="117"/>
        <v>578254.02456399996</v>
      </c>
      <c r="L541" s="45">
        <f t="shared" si="117"/>
        <v>4283.3513430000003</v>
      </c>
      <c r="M541" s="45">
        <f t="shared" si="117"/>
        <v>76526.249824999992</v>
      </c>
      <c r="N541" s="48">
        <f t="shared" si="117"/>
        <v>28083.666249000002</v>
      </c>
      <c r="O541" s="45">
        <f t="shared" si="117"/>
        <v>48442.583575999997</v>
      </c>
      <c r="P541" s="49"/>
      <c r="Q541" s="49"/>
      <c r="R541" s="50"/>
      <c r="S541" s="49"/>
      <c r="T541" s="51">
        <f>SUM(T530:T540)</f>
        <v>54874</v>
      </c>
    </row>
    <row r="542" spans="2:20" ht="15.6" x14ac:dyDescent="0.3">
      <c r="B542" s="25"/>
      <c r="C542" s="25"/>
      <c r="D542" s="25"/>
      <c r="E542" s="25"/>
      <c r="F542" s="25"/>
      <c r="G542" s="40"/>
      <c r="H542" s="41"/>
      <c r="I542" s="27"/>
      <c r="J542" s="27"/>
      <c r="K542" s="27"/>
      <c r="L542" s="27"/>
      <c r="M542" s="27"/>
      <c r="N542" s="42"/>
      <c r="O542" s="27"/>
      <c r="P542" s="27"/>
      <c r="Q542" s="27"/>
      <c r="R542" s="42"/>
      <c r="S542" s="27"/>
      <c r="T542" s="27"/>
    </row>
    <row r="543" spans="2:20" ht="15.6" x14ac:dyDescent="0.3">
      <c r="B543" s="25"/>
      <c r="C543" s="25"/>
      <c r="D543" s="25"/>
      <c r="E543" s="25"/>
      <c r="F543" s="25"/>
      <c r="G543" s="40"/>
      <c r="H543" s="41"/>
      <c r="I543" s="27"/>
      <c r="J543" s="27"/>
      <c r="K543" s="27"/>
      <c r="L543" s="27"/>
      <c r="M543" s="27"/>
      <c r="N543" s="42"/>
      <c r="O543" s="27"/>
      <c r="P543" s="27"/>
      <c r="Q543" s="27"/>
      <c r="R543" s="42"/>
      <c r="S543" s="27"/>
      <c r="T543" s="27"/>
    </row>
    <row r="544" spans="2:20" ht="18" x14ac:dyDescent="0.35">
      <c r="B544" s="25"/>
      <c r="C544" s="29">
        <v>24</v>
      </c>
      <c r="D544" s="29" t="s">
        <v>787</v>
      </c>
      <c r="E544" s="55"/>
      <c r="F544" s="55"/>
      <c r="G544" s="40"/>
      <c r="H544" s="41"/>
      <c r="I544" s="27"/>
      <c r="J544" s="27"/>
      <c r="K544" s="27"/>
      <c r="L544" s="27"/>
      <c r="M544" s="27"/>
      <c r="N544" s="42"/>
      <c r="O544" s="27"/>
      <c r="P544" s="27"/>
      <c r="Q544" s="27"/>
      <c r="R544" s="42"/>
      <c r="S544" s="27"/>
      <c r="T544" s="27"/>
    </row>
    <row r="545" spans="2:20" ht="15.6" x14ac:dyDescent="0.3">
      <c r="B545" s="25"/>
      <c r="C545" s="25"/>
      <c r="D545" s="25"/>
      <c r="E545" s="25"/>
      <c r="F545" s="25"/>
      <c r="G545" s="40"/>
      <c r="H545" s="41"/>
      <c r="I545" s="27"/>
      <c r="J545" s="27"/>
      <c r="K545" s="27"/>
      <c r="L545" s="27"/>
      <c r="M545" s="27"/>
      <c r="N545" s="42"/>
      <c r="O545" s="27"/>
      <c r="P545" s="27"/>
      <c r="Q545" s="27"/>
      <c r="R545" s="42"/>
      <c r="S545" s="27"/>
      <c r="T545" s="27"/>
    </row>
    <row r="546" spans="2:20" ht="15.6" x14ac:dyDescent="0.3">
      <c r="B546" s="30">
        <v>1</v>
      </c>
      <c r="C546" s="30" t="s">
        <v>788</v>
      </c>
      <c r="D546" s="31" t="s">
        <v>789</v>
      </c>
      <c r="E546" s="32">
        <v>45473</v>
      </c>
      <c r="F546" s="33">
        <v>180</v>
      </c>
      <c r="G546" s="34">
        <v>5</v>
      </c>
      <c r="H546" s="35">
        <f t="shared" ref="H546:H554" si="118">+F546/G546</f>
        <v>36</v>
      </c>
      <c r="I546" s="33">
        <v>4201.2060000000001</v>
      </c>
      <c r="J546" s="33">
        <v>6380.9880000000003</v>
      </c>
      <c r="K546" s="33">
        <v>5927.2269999999999</v>
      </c>
      <c r="L546" s="33">
        <v>113.59</v>
      </c>
      <c r="M546" s="33">
        <v>-341.20800000000003</v>
      </c>
      <c r="N546" s="35">
        <f t="shared" ref="N546:N554" si="119">+M546-O546</f>
        <v>-65.490000000000009</v>
      </c>
      <c r="O546" s="33">
        <v>-275.71800000000002</v>
      </c>
      <c r="P546" s="36">
        <v>0</v>
      </c>
      <c r="Q546" s="36">
        <v>0</v>
      </c>
      <c r="R546" s="37">
        <f t="shared" ref="R546:R554" si="120">SUM(P546:Q546)</f>
        <v>0</v>
      </c>
      <c r="S546" s="36"/>
      <c r="T546" s="38">
        <v>3335</v>
      </c>
    </row>
    <row r="547" spans="2:20" ht="15.6" x14ac:dyDescent="0.3">
      <c r="B547" s="30">
        <f t="shared" ref="B547:B554" si="121">+B546+1</f>
        <v>2</v>
      </c>
      <c r="C547" s="30" t="s">
        <v>790</v>
      </c>
      <c r="D547" s="31" t="s">
        <v>791</v>
      </c>
      <c r="E547" s="32">
        <v>45473</v>
      </c>
      <c r="F547" s="33">
        <v>350.17034000000001</v>
      </c>
      <c r="G547" s="34">
        <v>10</v>
      </c>
      <c r="H547" s="35">
        <f t="shared" si="118"/>
        <v>35.017034000000002</v>
      </c>
      <c r="I547" s="33">
        <v>8519.1669999999995</v>
      </c>
      <c r="J547" s="33">
        <v>23318.274000000001</v>
      </c>
      <c r="K547" s="33">
        <v>41470.591999999997</v>
      </c>
      <c r="L547" s="33">
        <v>1619.3510000000001</v>
      </c>
      <c r="M547" s="33">
        <v>2155.241</v>
      </c>
      <c r="N547" s="35">
        <f t="shared" si="119"/>
        <v>811.5920000000001</v>
      </c>
      <c r="O547" s="33">
        <v>1343.6489999999999</v>
      </c>
      <c r="P547" s="36">
        <v>200</v>
      </c>
      <c r="Q547" s="36">
        <v>0</v>
      </c>
      <c r="R547" s="37">
        <f t="shared" si="120"/>
        <v>200</v>
      </c>
      <c r="S547" s="36"/>
      <c r="T547" s="38">
        <v>2687</v>
      </c>
    </row>
    <row r="548" spans="2:20" ht="15.6" x14ac:dyDescent="0.3">
      <c r="B548" s="30">
        <f t="shared" si="121"/>
        <v>3</v>
      </c>
      <c r="C548" s="30" t="s">
        <v>792</v>
      </c>
      <c r="D548" s="31" t="s">
        <v>793</v>
      </c>
      <c r="E548" s="32">
        <v>45473</v>
      </c>
      <c r="F548" s="33">
        <f>13.33425*G548</f>
        <v>133.3425</v>
      </c>
      <c r="G548" s="34">
        <v>10</v>
      </c>
      <c r="H548" s="35">
        <f t="shared" si="118"/>
        <v>13.334250000000001</v>
      </c>
      <c r="I548" s="33">
        <v>2116.85</v>
      </c>
      <c r="J548" s="33">
        <v>2519.0210000000002</v>
      </c>
      <c r="K548" s="33">
        <v>2174.4810000000002</v>
      </c>
      <c r="L548" s="33">
        <v>5.5540000000000003</v>
      </c>
      <c r="M548" s="33">
        <v>350.09199999999998</v>
      </c>
      <c r="N548" s="35">
        <f t="shared" si="119"/>
        <v>109.42699999999999</v>
      </c>
      <c r="O548" s="33">
        <v>240.66499999999999</v>
      </c>
      <c r="P548" s="36">
        <f>20+50+30+30</f>
        <v>130</v>
      </c>
      <c r="Q548" s="36">
        <v>0</v>
      </c>
      <c r="R548" s="37">
        <f t="shared" si="120"/>
        <v>130</v>
      </c>
      <c r="S548" s="36"/>
      <c r="T548" s="38">
        <v>1369</v>
      </c>
    </row>
    <row r="549" spans="2:20" ht="15.6" x14ac:dyDescent="0.3">
      <c r="B549" s="30">
        <f t="shared" si="121"/>
        <v>4</v>
      </c>
      <c r="C549" s="30" t="s">
        <v>794</v>
      </c>
      <c r="D549" s="31" t="s">
        <v>795</v>
      </c>
      <c r="E549" s="32">
        <v>45382</v>
      </c>
      <c r="F549" s="33">
        <v>77.686179999999993</v>
      </c>
      <c r="G549" s="34">
        <v>10</v>
      </c>
      <c r="H549" s="35">
        <f t="shared" si="118"/>
        <v>7.7686179999999991</v>
      </c>
      <c r="I549" s="33">
        <v>6280.6530000000002</v>
      </c>
      <c r="J549" s="33">
        <v>14080.406000000001</v>
      </c>
      <c r="K549" s="33">
        <v>25667.601999999999</v>
      </c>
      <c r="L549" s="33">
        <v>858.11199999999997</v>
      </c>
      <c r="M549" s="33">
        <v>2154.6970000000001</v>
      </c>
      <c r="N549" s="35">
        <f t="shared" si="119"/>
        <v>900.07400000000007</v>
      </c>
      <c r="O549" s="33">
        <v>1254.623</v>
      </c>
      <c r="P549" s="36">
        <v>100</v>
      </c>
      <c r="Q549" s="36">
        <v>0</v>
      </c>
      <c r="R549" s="37">
        <f t="shared" si="120"/>
        <v>100</v>
      </c>
      <c r="S549" s="36"/>
      <c r="T549" s="38">
        <v>2043</v>
      </c>
    </row>
    <row r="550" spans="2:20" ht="15.6" x14ac:dyDescent="0.3">
      <c r="B550" s="30">
        <f t="shared" si="121"/>
        <v>5</v>
      </c>
      <c r="C550" s="30" t="s">
        <v>796</v>
      </c>
      <c r="D550" s="31" t="s">
        <v>797</v>
      </c>
      <c r="E550" s="32">
        <v>45473</v>
      </c>
      <c r="F550" s="33">
        <v>1219.3335</v>
      </c>
      <c r="G550" s="34">
        <v>10</v>
      </c>
      <c r="H550" s="35">
        <f t="shared" si="118"/>
        <v>121.93334999999999</v>
      </c>
      <c r="I550" s="33">
        <v>5995.3050000000003</v>
      </c>
      <c r="J550" s="33">
        <v>18848.105</v>
      </c>
      <c r="K550" s="33">
        <v>20538.57</v>
      </c>
      <c r="L550" s="33">
        <v>1680.26</v>
      </c>
      <c r="M550" s="33">
        <v>419.68299999999999</v>
      </c>
      <c r="N550" s="35">
        <f t="shared" si="119"/>
        <v>190.62299999999999</v>
      </c>
      <c r="O550" s="33">
        <v>229.06</v>
      </c>
      <c r="P550" s="36">
        <v>18.07</v>
      </c>
      <c r="Q550" s="36">
        <v>0</v>
      </c>
      <c r="R550" s="37">
        <f t="shared" si="120"/>
        <v>18.07</v>
      </c>
      <c r="S550" s="36"/>
      <c r="T550" s="38">
        <v>4972</v>
      </c>
    </row>
    <row r="551" spans="2:20" ht="15.6" x14ac:dyDescent="0.3">
      <c r="B551" s="30">
        <f t="shared" si="121"/>
        <v>6</v>
      </c>
      <c r="C551" s="30" t="s">
        <v>798</v>
      </c>
      <c r="D551" s="31" t="s">
        <v>799</v>
      </c>
      <c r="E551" s="32">
        <v>45473</v>
      </c>
      <c r="F551" s="33">
        <v>2512.5</v>
      </c>
      <c r="G551" s="34">
        <v>10</v>
      </c>
      <c r="H551" s="35">
        <f t="shared" si="118"/>
        <v>251.25</v>
      </c>
      <c r="I551" s="33">
        <v>3829.387138</v>
      </c>
      <c r="J551" s="33">
        <v>7223.9302420000004</v>
      </c>
      <c r="K551" s="33">
        <v>4490.3639759999996</v>
      </c>
      <c r="L551" s="33">
        <v>627.58022200000005</v>
      </c>
      <c r="M551" s="33">
        <v>256.70021700000001</v>
      </c>
      <c r="N551" s="35">
        <f t="shared" si="119"/>
        <v>-569.88584999999989</v>
      </c>
      <c r="O551" s="33">
        <v>826.58606699999996</v>
      </c>
      <c r="P551" s="36">
        <v>0</v>
      </c>
      <c r="Q551" s="36">
        <v>0</v>
      </c>
      <c r="R551" s="37">
        <f t="shared" ref="R551" si="122">SUM(P551:Q551)</f>
        <v>0</v>
      </c>
      <c r="S551" s="36"/>
      <c r="T551" s="38">
        <v>8182</v>
      </c>
    </row>
    <row r="552" spans="2:20" ht="15.6" x14ac:dyDescent="0.3">
      <c r="B552" s="30">
        <f t="shared" si="121"/>
        <v>7</v>
      </c>
      <c r="C552" s="30" t="s">
        <v>800</v>
      </c>
      <c r="D552" s="31" t="s">
        <v>801</v>
      </c>
      <c r="E552" s="32">
        <v>45473</v>
      </c>
      <c r="F552" s="33">
        <v>1680</v>
      </c>
      <c r="G552" s="34">
        <v>10</v>
      </c>
      <c r="H552" s="35">
        <f t="shared" si="118"/>
        <v>168</v>
      </c>
      <c r="I552" s="33">
        <v>7422.5368319999998</v>
      </c>
      <c r="J552" s="33">
        <v>23637.521252999999</v>
      </c>
      <c r="K552" s="33">
        <v>29523.186612000001</v>
      </c>
      <c r="L552" s="33">
        <v>1488.274635</v>
      </c>
      <c r="M552" s="33">
        <v>541.00537499999996</v>
      </c>
      <c r="N552" s="35">
        <f t="shared" si="119"/>
        <v>75.220242999999982</v>
      </c>
      <c r="O552" s="33">
        <v>465.78513199999998</v>
      </c>
      <c r="P552" s="36">
        <v>0</v>
      </c>
      <c r="Q552" s="36">
        <v>0</v>
      </c>
      <c r="R552" s="37">
        <f t="shared" ref="R552" si="123">SUM(P552:Q552)</f>
        <v>0</v>
      </c>
      <c r="S552" s="36"/>
      <c r="T552" s="38">
        <v>3735</v>
      </c>
    </row>
    <row r="553" spans="2:20" ht="15.6" x14ac:dyDescent="0.3">
      <c r="B553" s="30">
        <f t="shared" si="121"/>
        <v>8</v>
      </c>
      <c r="C553" s="30" t="s">
        <v>802</v>
      </c>
      <c r="D553" s="31" t="s">
        <v>803</v>
      </c>
      <c r="E553" s="32">
        <v>45473</v>
      </c>
      <c r="F553" s="33">
        <v>8822.7654299999995</v>
      </c>
      <c r="G553" s="34">
        <v>10</v>
      </c>
      <c r="H553" s="35">
        <f t="shared" si="118"/>
        <v>882.27654299999995</v>
      </c>
      <c r="I553" s="33">
        <v>2235.62</v>
      </c>
      <c r="J553" s="33">
        <v>12810.846</v>
      </c>
      <c r="K553" s="33">
        <v>8733.3220000000001</v>
      </c>
      <c r="L553" s="33">
        <v>1264.922</v>
      </c>
      <c r="M553" s="33">
        <v>-375.02699999999999</v>
      </c>
      <c r="N553" s="35">
        <f t="shared" si="119"/>
        <v>-89.032999999999959</v>
      </c>
      <c r="O553" s="33">
        <v>-285.99400000000003</v>
      </c>
      <c r="P553" s="36">
        <v>0</v>
      </c>
      <c r="Q553" s="36">
        <v>0</v>
      </c>
      <c r="R553" s="37">
        <f t="shared" ref="R553" si="124">SUM(P553:Q553)</f>
        <v>0</v>
      </c>
      <c r="S553" s="36"/>
      <c r="T553" s="38">
        <v>2178</v>
      </c>
    </row>
    <row r="554" spans="2:20" ht="15.6" x14ac:dyDescent="0.3">
      <c r="B554" s="30">
        <f t="shared" si="121"/>
        <v>9</v>
      </c>
      <c r="C554" s="30" t="s">
        <v>804</v>
      </c>
      <c r="D554" s="31" t="s">
        <v>805</v>
      </c>
      <c r="E554" s="32">
        <v>45473</v>
      </c>
      <c r="F554" s="33">
        <v>405.149585</v>
      </c>
      <c r="G554" s="34">
        <v>5</v>
      </c>
      <c r="H554" s="35">
        <f t="shared" si="118"/>
        <v>81.029916999999998</v>
      </c>
      <c r="I554" s="33">
        <v>31247.263999999999</v>
      </c>
      <c r="J554" s="33">
        <v>42755.035000000003</v>
      </c>
      <c r="K554" s="33">
        <v>26550.6</v>
      </c>
      <c r="L554" s="33">
        <v>729.41399999999999</v>
      </c>
      <c r="M554" s="33">
        <v>2619.4070000000002</v>
      </c>
      <c r="N554" s="35">
        <f t="shared" si="119"/>
        <v>428.97900000000027</v>
      </c>
      <c r="O554" s="33">
        <v>2190.4279999999999</v>
      </c>
      <c r="P554" s="36">
        <f>40+120</f>
        <v>160</v>
      </c>
      <c r="Q554" s="36">
        <v>0</v>
      </c>
      <c r="R554" s="37">
        <f t="shared" si="120"/>
        <v>160</v>
      </c>
      <c r="S554" s="36"/>
      <c r="T554" s="38">
        <v>4230</v>
      </c>
    </row>
    <row r="555" spans="2:20" ht="15.6" x14ac:dyDescent="0.3">
      <c r="B555" s="25"/>
      <c r="C555" s="25"/>
      <c r="D555" s="25"/>
      <c r="E555" s="25"/>
      <c r="F555" s="25"/>
      <c r="G555" s="40"/>
      <c r="H555" s="41"/>
      <c r="I555" s="27"/>
      <c r="J555" s="27"/>
      <c r="K555" s="27"/>
      <c r="L555" s="27"/>
      <c r="M555" s="27"/>
      <c r="N555" s="42"/>
      <c r="O555" s="27"/>
      <c r="P555" s="27"/>
      <c r="Q555" s="27"/>
      <c r="R555" s="42"/>
      <c r="S555" s="27"/>
      <c r="T555" s="27"/>
    </row>
    <row r="556" spans="2:20" ht="18" x14ac:dyDescent="0.35">
      <c r="B556" s="25"/>
      <c r="C556" s="25"/>
      <c r="D556" s="53" t="s">
        <v>1127</v>
      </c>
      <c r="E556" s="25"/>
      <c r="F556" s="25"/>
      <c r="G556" s="40"/>
      <c r="H556" s="41"/>
      <c r="I556" s="27"/>
      <c r="J556" s="27"/>
      <c r="K556" s="27"/>
      <c r="L556" s="27"/>
      <c r="M556" s="27"/>
      <c r="N556" s="42"/>
      <c r="O556" s="27"/>
      <c r="P556" s="27"/>
      <c r="Q556" s="27"/>
      <c r="R556" s="42"/>
      <c r="S556" s="27"/>
      <c r="T556" s="27"/>
    </row>
    <row r="557" spans="2:20" ht="15.6" x14ac:dyDescent="0.3">
      <c r="B557" s="30">
        <v>1</v>
      </c>
      <c r="C557" s="30" t="s">
        <v>806</v>
      </c>
      <c r="D557" s="31" t="s">
        <v>807</v>
      </c>
      <c r="E557" s="32">
        <v>45473</v>
      </c>
      <c r="F557" s="33">
        <v>58</v>
      </c>
      <c r="G557" s="34">
        <v>10</v>
      </c>
      <c r="H557" s="35">
        <f>+F557/G557</f>
        <v>5.8</v>
      </c>
      <c r="I557" s="33">
        <v>96.975863000000004</v>
      </c>
      <c r="J557" s="33">
        <v>241.46922000000001</v>
      </c>
      <c r="K557" s="33">
        <v>0</v>
      </c>
      <c r="L557" s="33">
        <v>8.0003130000000002</v>
      </c>
      <c r="M557" s="33">
        <v>-27.232782</v>
      </c>
      <c r="N557" s="35">
        <f>+M557-O557</f>
        <v>0</v>
      </c>
      <c r="O557" s="33">
        <v>-27.232782</v>
      </c>
      <c r="P557" s="36">
        <v>0</v>
      </c>
      <c r="Q557" s="36">
        <v>0</v>
      </c>
      <c r="R557" s="37">
        <f>SUM(P557:Q557)</f>
        <v>0</v>
      </c>
      <c r="S557" s="36"/>
      <c r="T557" s="38">
        <v>4258</v>
      </c>
    </row>
    <row r="558" spans="2:20" ht="15.6" x14ac:dyDescent="0.3">
      <c r="B558" s="30">
        <f>+B557+1</f>
        <v>2</v>
      </c>
      <c r="C558" s="30" t="s">
        <v>808</v>
      </c>
      <c r="D558" s="31" t="s">
        <v>809</v>
      </c>
      <c r="E558" s="32">
        <v>45473</v>
      </c>
      <c r="F558" s="33">
        <v>214</v>
      </c>
      <c r="G558" s="34">
        <v>10</v>
      </c>
      <c r="H558" s="35">
        <f>+F558/G558</f>
        <v>21.4</v>
      </c>
      <c r="I558" s="33">
        <v>-1524.61</v>
      </c>
      <c r="J558" s="33">
        <v>204.25</v>
      </c>
      <c r="K558" s="33">
        <v>0</v>
      </c>
      <c r="L558" s="33">
        <v>60.44</v>
      </c>
      <c r="M558" s="33">
        <v>-69.552000000000007</v>
      </c>
      <c r="N558" s="35">
        <f>+M558-O558</f>
        <v>-1.6400000000000006</v>
      </c>
      <c r="O558" s="33">
        <v>-67.912000000000006</v>
      </c>
      <c r="P558" s="36">
        <v>0</v>
      </c>
      <c r="Q558" s="36">
        <v>0</v>
      </c>
      <c r="R558" s="37">
        <f>SUM(P558:Q558)</f>
        <v>0</v>
      </c>
      <c r="S558" s="36"/>
      <c r="T558" s="38">
        <v>1197</v>
      </c>
    </row>
    <row r="559" spans="2:20" ht="15.6" x14ac:dyDescent="0.3">
      <c r="B559" s="25"/>
      <c r="C559" s="25"/>
      <c r="D559" s="25"/>
      <c r="E559" s="25"/>
      <c r="F559" s="25"/>
      <c r="G559" s="40"/>
      <c r="H559" s="41"/>
      <c r="I559" s="27"/>
      <c r="J559" s="27"/>
      <c r="K559" s="27"/>
      <c r="L559" s="27"/>
      <c r="M559" s="27"/>
      <c r="N559" s="42"/>
      <c r="O559" s="27"/>
      <c r="P559" s="27"/>
      <c r="Q559" s="27"/>
      <c r="R559" s="42"/>
      <c r="S559" s="27"/>
      <c r="T559" s="27"/>
    </row>
    <row r="560" spans="2:20" ht="15.6" x14ac:dyDescent="0.3">
      <c r="B560" s="44">
        <f>COUNT(B546:B559)</f>
        <v>11</v>
      </c>
      <c r="C560" s="44"/>
      <c r="D560" s="45"/>
      <c r="E560" s="45"/>
      <c r="F560" s="45">
        <f>SUM(F546:F559)</f>
        <v>15652.947534999999</v>
      </c>
      <c r="G560" s="46"/>
      <c r="H560" s="47">
        <f t="shared" ref="H560:O560" si="125">SUM(H546:H559)</f>
        <v>1623.809712</v>
      </c>
      <c r="I560" s="45">
        <f t="shared" si="125"/>
        <v>70420.354833000005</v>
      </c>
      <c r="J560" s="45">
        <f t="shared" si="125"/>
        <v>152019.84571500003</v>
      </c>
      <c r="K560" s="45">
        <f t="shared" si="125"/>
        <v>165075.94458800001</v>
      </c>
      <c r="L560" s="45">
        <f t="shared" si="125"/>
        <v>8455.4981700000026</v>
      </c>
      <c r="M560" s="45">
        <f t="shared" si="125"/>
        <v>7683.8058099999998</v>
      </c>
      <c r="N560" s="48">
        <f t="shared" si="125"/>
        <v>1789.8663930000005</v>
      </c>
      <c r="O560" s="45">
        <f t="shared" si="125"/>
        <v>5893.9394169999987</v>
      </c>
      <c r="P560" s="49"/>
      <c r="Q560" s="49"/>
      <c r="R560" s="50"/>
      <c r="S560" s="49"/>
      <c r="T560" s="51">
        <f>SUM(T546:T559)</f>
        <v>38186</v>
      </c>
    </row>
    <row r="561" spans="2:20" ht="15.6" x14ac:dyDescent="0.3">
      <c r="B561" s="25"/>
      <c r="C561" s="25"/>
      <c r="D561" s="25"/>
      <c r="E561" s="25"/>
      <c r="F561" s="25"/>
      <c r="G561" s="40"/>
      <c r="H561" s="41"/>
      <c r="I561" s="27"/>
      <c r="J561" s="27"/>
      <c r="K561" s="27"/>
      <c r="L561" s="27"/>
      <c r="M561" s="27"/>
      <c r="N561" s="42"/>
      <c r="O561" s="27"/>
      <c r="P561" s="27"/>
      <c r="Q561" s="27"/>
      <c r="R561" s="42"/>
      <c r="S561" s="27"/>
      <c r="T561" s="27"/>
    </row>
    <row r="562" spans="2:20" ht="15.6" x14ac:dyDescent="0.3">
      <c r="B562" s="25"/>
      <c r="C562" s="25"/>
      <c r="D562" s="25"/>
      <c r="E562" s="25"/>
      <c r="F562" s="25"/>
      <c r="G562" s="40"/>
      <c r="H562" s="41"/>
      <c r="I562" s="27"/>
      <c r="J562" s="27"/>
      <c r="K562" s="27"/>
      <c r="L562" s="27"/>
      <c r="M562" s="27"/>
      <c r="N562" s="42"/>
      <c r="O562" s="27"/>
      <c r="P562" s="27"/>
      <c r="Q562" s="27"/>
      <c r="R562" s="42"/>
      <c r="S562" s="27"/>
      <c r="T562" s="27"/>
    </row>
    <row r="563" spans="2:20" ht="18" x14ac:dyDescent="0.35">
      <c r="B563" s="25"/>
      <c r="C563" s="29">
        <v>25</v>
      </c>
      <c r="D563" s="29" t="s">
        <v>810</v>
      </c>
      <c r="E563" s="55"/>
      <c r="F563" s="55"/>
      <c r="G563" s="40"/>
      <c r="H563" s="41"/>
      <c r="I563" s="27"/>
      <c r="J563" s="27"/>
      <c r="K563" s="27"/>
      <c r="L563" s="27"/>
      <c r="M563" s="27"/>
      <c r="N563" s="42"/>
      <c r="O563" s="27"/>
      <c r="P563" s="27"/>
      <c r="Q563" s="27"/>
      <c r="R563" s="42"/>
      <c r="S563" s="27"/>
      <c r="T563" s="27"/>
    </row>
    <row r="564" spans="2:20" ht="15.6" x14ac:dyDescent="0.3">
      <c r="B564" s="25"/>
      <c r="C564" s="25"/>
      <c r="D564" s="25"/>
      <c r="E564" s="25"/>
      <c r="F564" s="25"/>
      <c r="G564" s="40"/>
      <c r="H564" s="41"/>
      <c r="I564" s="27"/>
      <c r="J564" s="27"/>
      <c r="K564" s="27"/>
      <c r="L564" s="27"/>
      <c r="M564" s="27"/>
      <c r="N564" s="42"/>
      <c r="O564" s="27"/>
      <c r="P564" s="27"/>
      <c r="Q564" s="27"/>
      <c r="R564" s="42"/>
      <c r="S564" s="27"/>
      <c r="T564" s="27"/>
    </row>
    <row r="565" spans="2:20" ht="15.6" x14ac:dyDescent="0.3">
      <c r="B565" s="30">
        <v>1</v>
      </c>
      <c r="C565" s="30" t="s">
        <v>811</v>
      </c>
      <c r="D565" s="31" t="s">
        <v>812</v>
      </c>
      <c r="E565" s="32">
        <v>45473</v>
      </c>
      <c r="F565" s="33">
        <v>350</v>
      </c>
      <c r="G565" s="34">
        <v>10</v>
      </c>
      <c r="H565" s="35">
        <f t="shared" ref="H565:H570" si="126">+F565/G565</f>
        <v>35</v>
      </c>
      <c r="I565" s="33">
        <v>2946.1315650000001</v>
      </c>
      <c r="J565" s="33">
        <v>5768.9919559999998</v>
      </c>
      <c r="K565" s="33">
        <v>4192.4046209999997</v>
      </c>
      <c r="L565" s="33">
        <v>392.711005</v>
      </c>
      <c r="M565" s="33">
        <v>355.947517</v>
      </c>
      <c r="N565" s="35">
        <f t="shared" ref="N565:N570" si="127">+M565-O565</f>
        <v>136.94969600000002</v>
      </c>
      <c r="O565" s="33">
        <v>218.99782099999999</v>
      </c>
      <c r="P565" s="36">
        <v>0</v>
      </c>
      <c r="Q565" s="36">
        <v>0</v>
      </c>
      <c r="R565" s="37">
        <f t="shared" ref="R565:R570" si="128">SUM(P565:Q565)</f>
        <v>0</v>
      </c>
      <c r="S565" s="36"/>
      <c r="T565" s="38">
        <v>749</v>
      </c>
    </row>
    <row r="566" spans="2:20" ht="15.6" x14ac:dyDescent="0.3">
      <c r="B566" s="30">
        <f>+B565+1</f>
        <v>2</v>
      </c>
      <c r="C566" s="30" t="s">
        <v>813</v>
      </c>
      <c r="D566" s="31" t="s">
        <v>814</v>
      </c>
      <c r="E566" s="32">
        <v>45473</v>
      </c>
      <c r="F566" s="33">
        <v>6288.54</v>
      </c>
      <c r="G566" s="34">
        <v>10</v>
      </c>
      <c r="H566" s="35">
        <f t="shared" si="126"/>
        <v>628.85400000000004</v>
      </c>
      <c r="I566" s="33">
        <v>14041.094999999999</v>
      </c>
      <c r="J566" s="33">
        <v>33421.561999999998</v>
      </c>
      <c r="K566" s="33">
        <v>36024.050999999999</v>
      </c>
      <c r="L566" s="33">
        <v>1364.7670000000001</v>
      </c>
      <c r="M566" s="33">
        <v>3115.5880000000002</v>
      </c>
      <c r="N566" s="35">
        <f t="shared" si="127"/>
        <v>1227.9960000000001</v>
      </c>
      <c r="O566" s="33">
        <v>1887.5920000000001</v>
      </c>
      <c r="P566" s="36">
        <v>12.5</v>
      </c>
      <c r="Q566" s="36">
        <v>0</v>
      </c>
      <c r="R566" s="37">
        <f t="shared" si="128"/>
        <v>12.5</v>
      </c>
      <c r="S566" s="36"/>
      <c r="T566" s="38">
        <v>4609</v>
      </c>
    </row>
    <row r="567" spans="2:20" ht="15.6" x14ac:dyDescent="0.3">
      <c r="B567" s="30">
        <f>+B566+1</f>
        <v>3</v>
      </c>
      <c r="C567" s="54" t="s">
        <v>815</v>
      </c>
      <c r="D567" s="31" t="s">
        <v>816</v>
      </c>
      <c r="E567" s="32">
        <v>45657</v>
      </c>
      <c r="F567" s="33">
        <v>8560.1215499999998</v>
      </c>
      <c r="G567" s="34">
        <v>10</v>
      </c>
      <c r="H567" s="35">
        <f t="shared" si="126"/>
        <v>856.01215500000001</v>
      </c>
      <c r="I567" s="33">
        <v>43764.964999999997</v>
      </c>
      <c r="J567" s="33">
        <v>72539.331000000006</v>
      </c>
      <c r="K567" s="33">
        <v>53112.906000000003</v>
      </c>
      <c r="L567" s="33">
        <v>3680.096</v>
      </c>
      <c r="M567" s="33">
        <v>4132.366</v>
      </c>
      <c r="N567" s="35">
        <f t="shared" si="127"/>
        <v>1765.2919999999999</v>
      </c>
      <c r="O567" s="33">
        <v>2367.0740000000001</v>
      </c>
      <c r="P567" s="36">
        <v>0</v>
      </c>
      <c r="Q567" s="36">
        <v>0</v>
      </c>
      <c r="R567" s="37">
        <f t="shared" si="128"/>
        <v>0</v>
      </c>
      <c r="S567" s="36"/>
      <c r="T567" s="38">
        <v>9371</v>
      </c>
    </row>
    <row r="568" spans="2:20" ht="15.6" x14ac:dyDescent="0.3">
      <c r="B568" s="30">
        <f t="shared" ref="B568:B571" si="129">+B567+1</f>
        <v>4</v>
      </c>
      <c r="C568" s="30" t="s">
        <v>817</v>
      </c>
      <c r="D568" s="31" t="s">
        <v>818</v>
      </c>
      <c r="E568" s="32">
        <v>45473</v>
      </c>
      <c r="F568" s="33">
        <v>495.06743999999998</v>
      </c>
      <c r="G568" s="34">
        <v>10</v>
      </c>
      <c r="H568" s="35">
        <f t="shared" si="126"/>
        <v>49.506743999999998</v>
      </c>
      <c r="I568" s="33">
        <v>9680.1010000000006</v>
      </c>
      <c r="J568" s="33">
        <v>31670.607</v>
      </c>
      <c r="K568" s="33">
        <v>26167.037</v>
      </c>
      <c r="L568" s="33">
        <v>1737.453</v>
      </c>
      <c r="M568" s="33">
        <v>291.03300000000002</v>
      </c>
      <c r="N568" s="35">
        <f t="shared" si="127"/>
        <v>82.175000000000011</v>
      </c>
      <c r="O568" s="33">
        <v>208.858</v>
      </c>
      <c r="P568" s="36">
        <v>0</v>
      </c>
      <c r="Q568" s="36">
        <v>10</v>
      </c>
      <c r="R568" s="37">
        <f t="shared" si="128"/>
        <v>10</v>
      </c>
      <c r="S568" s="36"/>
      <c r="T568" s="38">
        <v>2290</v>
      </c>
    </row>
    <row r="569" spans="2:20" ht="15.6" x14ac:dyDescent="0.3">
      <c r="B569" s="30">
        <f t="shared" si="129"/>
        <v>5</v>
      </c>
      <c r="C569" s="30" t="s">
        <v>819</v>
      </c>
      <c r="D569" s="31" t="s">
        <v>820</v>
      </c>
      <c r="E569" s="32">
        <v>45565</v>
      </c>
      <c r="F569" s="33">
        <v>82.470370000000003</v>
      </c>
      <c r="G569" s="34">
        <v>10</v>
      </c>
      <c r="H569" s="35">
        <f t="shared" si="126"/>
        <v>8.2470370000000006</v>
      </c>
      <c r="I569" s="33">
        <v>5396.8130000000001</v>
      </c>
      <c r="J569" s="33">
        <v>31497.511999999999</v>
      </c>
      <c r="K569" s="33">
        <v>35166.298000000003</v>
      </c>
      <c r="L569" s="33">
        <v>2019.069</v>
      </c>
      <c r="M569" s="33">
        <v>-2338.9659999999999</v>
      </c>
      <c r="N569" s="35">
        <f t="shared" si="127"/>
        <v>-290.87899999999991</v>
      </c>
      <c r="O569" s="33">
        <v>-2048.087</v>
      </c>
      <c r="P569" s="36">
        <v>0</v>
      </c>
      <c r="Q569" s="36">
        <v>0</v>
      </c>
      <c r="R569" s="37">
        <f t="shared" si="128"/>
        <v>0</v>
      </c>
      <c r="S569" s="36"/>
      <c r="T569" s="38">
        <v>1602</v>
      </c>
    </row>
    <row r="570" spans="2:20" ht="15.6" x14ac:dyDescent="0.3">
      <c r="B570" s="30">
        <f t="shared" si="129"/>
        <v>6</v>
      </c>
      <c r="C570" s="54" t="s">
        <v>821</v>
      </c>
      <c r="D570" s="31" t="s">
        <v>822</v>
      </c>
      <c r="E570" s="32">
        <v>45657</v>
      </c>
      <c r="F570" s="33">
        <v>2814.0619999999999</v>
      </c>
      <c r="G570" s="34">
        <v>10</v>
      </c>
      <c r="H570" s="35">
        <f t="shared" si="126"/>
        <v>281.40620000000001</v>
      </c>
      <c r="I570" s="33">
        <v>8413.3780000000006</v>
      </c>
      <c r="J570" s="33">
        <v>10519.119000000001</v>
      </c>
      <c r="K570" s="33">
        <v>0</v>
      </c>
      <c r="L570" s="33">
        <v>396.86099999999999</v>
      </c>
      <c r="M570" s="33">
        <v>61.831000000000003</v>
      </c>
      <c r="N570" s="35">
        <f t="shared" si="127"/>
        <v>0</v>
      </c>
      <c r="O570" s="33">
        <v>61.831000000000003</v>
      </c>
      <c r="P570" s="36">
        <v>0</v>
      </c>
      <c r="Q570" s="36">
        <v>0</v>
      </c>
      <c r="R570" s="37">
        <f t="shared" si="128"/>
        <v>0</v>
      </c>
      <c r="S570" s="36"/>
      <c r="T570" s="38">
        <v>6408</v>
      </c>
    </row>
    <row r="571" spans="2:20" ht="15.6" x14ac:dyDescent="0.3">
      <c r="B571" s="30">
        <f t="shared" si="129"/>
        <v>7</v>
      </c>
      <c r="C571" s="54" t="s">
        <v>823</v>
      </c>
      <c r="D571" s="43" t="s">
        <v>824</v>
      </c>
      <c r="E571" s="32">
        <v>45657</v>
      </c>
      <c r="F571" s="33">
        <v>2678.8530700000001</v>
      </c>
      <c r="G571" s="34">
        <v>10</v>
      </c>
      <c r="H571" s="35">
        <f>+F571/G571</f>
        <v>267.88530700000001</v>
      </c>
      <c r="I571" s="33">
        <v>7969.0079999999998</v>
      </c>
      <c r="J571" s="33">
        <v>18529.556</v>
      </c>
      <c r="K571" s="33">
        <v>3170.183</v>
      </c>
      <c r="L571" s="33">
        <v>605.25400000000002</v>
      </c>
      <c r="M571" s="33">
        <v>137.529</v>
      </c>
      <c r="N571" s="35">
        <f>+M571-O571</f>
        <v>-15.75800000000001</v>
      </c>
      <c r="O571" s="33">
        <v>153.28700000000001</v>
      </c>
      <c r="P571" s="36">
        <v>0</v>
      </c>
      <c r="Q571" s="36">
        <v>0</v>
      </c>
      <c r="R571" s="37">
        <f>SUM(P571:Q571)</f>
        <v>0</v>
      </c>
      <c r="S571" s="36"/>
      <c r="T571" s="38">
        <v>6245</v>
      </c>
    </row>
    <row r="572" spans="2:20" ht="15.6" x14ac:dyDescent="0.3">
      <c r="B572" s="57"/>
      <c r="C572" s="56"/>
      <c r="D572" s="58"/>
      <c r="E572" s="59"/>
      <c r="F572" s="60"/>
      <c r="G572" s="40"/>
      <c r="H572" s="61"/>
      <c r="I572" s="60"/>
      <c r="J572" s="60"/>
      <c r="K572" s="60"/>
      <c r="L572" s="60"/>
      <c r="M572" s="60"/>
      <c r="N572" s="61"/>
      <c r="O572" s="60"/>
      <c r="P572" s="62"/>
      <c r="Q572" s="62"/>
      <c r="R572" s="63"/>
      <c r="S572" s="62"/>
      <c r="T572" s="64"/>
    </row>
    <row r="573" spans="2:20" ht="15.6" x14ac:dyDescent="0.3">
      <c r="B573" s="44">
        <f>COUNT(B565:B572)</f>
        <v>7</v>
      </c>
      <c r="C573" s="44"/>
      <c r="D573" s="45"/>
      <c r="E573" s="45"/>
      <c r="F573" s="45">
        <f>SUM(F565:F572)</f>
        <v>21269.114430000005</v>
      </c>
      <c r="G573" s="46"/>
      <c r="H573" s="47">
        <f t="shared" ref="H573:O573" si="130">SUM(H565:H572)</f>
        <v>2126.9114430000004</v>
      </c>
      <c r="I573" s="45">
        <f t="shared" si="130"/>
        <v>92211.491564999989</v>
      </c>
      <c r="J573" s="45">
        <f t="shared" si="130"/>
        <v>203946.67895599999</v>
      </c>
      <c r="K573" s="45">
        <f t="shared" si="130"/>
        <v>157832.879621</v>
      </c>
      <c r="L573" s="45">
        <f t="shared" si="130"/>
        <v>10196.211005000001</v>
      </c>
      <c r="M573" s="45">
        <f t="shared" si="130"/>
        <v>5755.3285170000017</v>
      </c>
      <c r="N573" s="48">
        <f t="shared" si="130"/>
        <v>2905.7756960000006</v>
      </c>
      <c r="O573" s="45">
        <f t="shared" si="130"/>
        <v>2849.5528210000002</v>
      </c>
      <c r="P573" s="49"/>
      <c r="Q573" s="49"/>
      <c r="R573" s="50"/>
      <c r="S573" s="49"/>
      <c r="T573" s="51">
        <f>SUM(T565:T572)</f>
        <v>31274</v>
      </c>
    </row>
    <row r="574" spans="2:20" ht="15.6" x14ac:dyDescent="0.3">
      <c r="B574" s="25"/>
      <c r="C574" s="25"/>
      <c r="D574" s="25"/>
      <c r="E574" s="25"/>
      <c r="F574" s="25"/>
      <c r="G574" s="40"/>
      <c r="H574" s="41"/>
      <c r="I574" s="27"/>
      <c r="J574" s="27"/>
      <c r="K574" s="27"/>
      <c r="L574" s="27"/>
      <c r="M574" s="27"/>
      <c r="N574" s="42"/>
      <c r="O574" s="27"/>
      <c r="P574" s="27"/>
      <c r="Q574" s="27"/>
      <c r="R574" s="42"/>
      <c r="S574" s="27"/>
      <c r="T574" s="27"/>
    </row>
    <row r="575" spans="2:20" ht="15.6" x14ac:dyDescent="0.3">
      <c r="B575" s="25"/>
      <c r="C575" s="25"/>
      <c r="D575" s="25"/>
      <c r="E575" s="25"/>
      <c r="F575" s="25"/>
      <c r="G575" s="40"/>
      <c r="H575" s="41"/>
      <c r="I575" s="27"/>
      <c r="J575" s="27"/>
      <c r="K575" s="27"/>
      <c r="L575" s="27"/>
      <c r="M575" s="27"/>
      <c r="N575" s="42"/>
      <c r="O575" s="27"/>
      <c r="P575" s="27"/>
      <c r="Q575" s="27"/>
      <c r="R575" s="42"/>
      <c r="S575" s="27"/>
      <c r="T575" s="27"/>
    </row>
    <row r="576" spans="2:20" ht="18" x14ac:dyDescent="0.35">
      <c r="B576" s="25"/>
      <c r="C576" s="29">
        <v>26</v>
      </c>
      <c r="D576" s="29" t="s">
        <v>825</v>
      </c>
      <c r="E576" s="55"/>
      <c r="F576" s="55"/>
      <c r="G576" s="40"/>
      <c r="H576" s="41"/>
      <c r="I576" s="27"/>
      <c r="J576" s="27"/>
      <c r="K576" s="27"/>
      <c r="L576" s="27"/>
      <c r="M576" s="27"/>
      <c r="N576" s="42"/>
      <c r="O576" s="27"/>
      <c r="P576" s="27"/>
      <c r="Q576" s="27"/>
      <c r="R576" s="42"/>
      <c r="S576" s="27"/>
      <c r="T576" s="27"/>
    </row>
    <row r="577" spans="2:20" ht="15.6" x14ac:dyDescent="0.3">
      <c r="B577" s="25"/>
      <c r="C577" s="25"/>
      <c r="D577" s="25"/>
      <c r="E577" s="25"/>
      <c r="F577" s="25"/>
      <c r="G577" s="40"/>
      <c r="H577" s="41"/>
      <c r="I577" s="27"/>
      <c r="J577" s="27"/>
      <c r="K577" s="27"/>
      <c r="L577" s="27"/>
      <c r="M577" s="27"/>
      <c r="N577" s="42"/>
      <c r="O577" s="27"/>
      <c r="P577" s="27"/>
      <c r="Q577" s="27"/>
      <c r="R577" s="42"/>
      <c r="S577" s="27"/>
      <c r="T577" s="27"/>
    </row>
    <row r="578" spans="2:20" ht="15.6" x14ac:dyDescent="0.3">
      <c r="B578" s="54">
        <v>1</v>
      </c>
      <c r="C578" s="54" t="s">
        <v>826</v>
      </c>
      <c r="D578" s="43" t="s">
        <v>827</v>
      </c>
      <c r="E578" s="32">
        <v>45473</v>
      </c>
      <c r="F578" s="72">
        <v>721.05200000000002</v>
      </c>
      <c r="G578" s="73">
        <v>10</v>
      </c>
      <c r="H578" s="74">
        <f t="shared" ref="H578:H582" si="131">+F578/G578</f>
        <v>72.105199999999996</v>
      </c>
      <c r="I578" s="72">
        <v>555.94109000000003</v>
      </c>
      <c r="J578" s="72">
        <v>683.007745</v>
      </c>
      <c r="K578" s="72">
        <v>45.934593999999997</v>
      </c>
      <c r="L578" s="72">
        <v>18.464858</v>
      </c>
      <c r="M578" s="72">
        <v>23.813292000000001</v>
      </c>
      <c r="N578" s="74">
        <f t="shared" ref="N578:N582" si="132">+M578-O578</f>
        <v>4.7084739999999989</v>
      </c>
      <c r="O578" s="72">
        <v>19.104818000000002</v>
      </c>
      <c r="P578" s="75">
        <v>0</v>
      </c>
      <c r="Q578" s="75">
        <v>0</v>
      </c>
      <c r="R578" s="76">
        <f t="shared" ref="R578:R582" si="133">SUM(P578:Q578)</f>
        <v>0</v>
      </c>
      <c r="S578" s="75"/>
      <c r="T578" s="77">
        <v>1753</v>
      </c>
    </row>
    <row r="579" spans="2:20" ht="15.6" x14ac:dyDescent="0.3">
      <c r="B579" s="54">
        <f>+B578+1</f>
        <v>2</v>
      </c>
      <c r="C579" s="30" t="s">
        <v>828</v>
      </c>
      <c r="D579" s="31" t="s">
        <v>829</v>
      </c>
      <c r="E579" s="32">
        <v>45473</v>
      </c>
      <c r="F579" s="33">
        <v>17860.92772</v>
      </c>
      <c r="G579" s="34">
        <v>10</v>
      </c>
      <c r="H579" s="35">
        <f t="shared" si="131"/>
        <v>1786.092772</v>
      </c>
      <c r="I579" s="33">
        <v>17820.941999999999</v>
      </c>
      <c r="J579" s="33">
        <v>31463.817999999999</v>
      </c>
      <c r="K579" s="33">
        <v>13852.284</v>
      </c>
      <c r="L579" s="33">
        <v>1965.5650000000001</v>
      </c>
      <c r="M579" s="33">
        <v>2304.7959999999998</v>
      </c>
      <c r="N579" s="35">
        <f t="shared" si="132"/>
        <v>653.98699999999985</v>
      </c>
      <c r="O579" s="33">
        <v>1650.809</v>
      </c>
      <c r="P579" s="36">
        <v>0</v>
      </c>
      <c r="Q579" s="36">
        <v>0</v>
      </c>
      <c r="R579" s="37">
        <f t="shared" si="133"/>
        <v>0</v>
      </c>
      <c r="S579" s="36"/>
      <c r="T579" s="38">
        <v>18831</v>
      </c>
    </row>
    <row r="580" spans="2:20" ht="15.6" x14ac:dyDescent="0.3">
      <c r="B580" s="54">
        <f t="shared" ref="B580:B582" si="134">+B579+1</f>
        <v>3</v>
      </c>
      <c r="C580" s="30" t="s">
        <v>830</v>
      </c>
      <c r="D580" s="31" t="s">
        <v>831</v>
      </c>
      <c r="E580" s="32">
        <v>45657</v>
      </c>
      <c r="F580" s="33">
        <v>1091.53152</v>
      </c>
      <c r="G580" s="34">
        <v>10</v>
      </c>
      <c r="H580" s="35">
        <f t="shared" si="131"/>
        <v>109.15315200000001</v>
      </c>
      <c r="I580" s="33"/>
      <c r="J580" s="33"/>
      <c r="K580" s="33"/>
      <c r="L580" s="33"/>
      <c r="M580" s="33"/>
      <c r="N580" s="35">
        <f t="shared" si="132"/>
        <v>0</v>
      </c>
      <c r="O580" s="33"/>
      <c r="P580" s="36">
        <f>91</f>
        <v>91</v>
      </c>
      <c r="Q580" s="36"/>
      <c r="R580" s="37">
        <f t="shared" si="133"/>
        <v>91</v>
      </c>
      <c r="S580" s="36"/>
      <c r="T580" s="38"/>
    </row>
    <row r="581" spans="2:20" ht="15.6" x14ac:dyDescent="0.3">
      <c r="B581" s="54">
        <f t="shared" si="134"/>
        <v>4</v>
      </c>
      <c r="C581" s="30" t="s">
        <v>832</v>
      </c>
      <c r="D581" s="31" t="s">
        <v>833</v>
      </c>
      <c r="E581" s="32">
        <v>45473</v>
      </c>
      <c r="F581" s="33">
        <v>1320.6335999999999</v>
      </c>
      <c r="G581" s="34">
        <v>10</v>
      </c>
      <c r="H581" s="35">
        <f t="shared" si="131"/>
        <v>132.06335999999999</v>
      </c>
      <c r="I581" s="33">
        <v>17752.716</v>
      </c>
      <c r="J581" s="33">
        <v>105077.103</v>
      </c>
      <c r="K581" s="33">
        <v>9181.8340000000007</v>
      </c>
      <c r="L581" s="33">
        <v>1003.486</v>
      </c>
      <c r="M581" s="33">
        <v>6495.7830000000004</v>
      </c>
      <c r="N581" s="35">
        <f t="shared" si="132"/>
        <v>1511.3760000000002</v>
      </c>
      <c r="O581" s="33">
        <v>4984.4070000000002</v>
      </c>
      <c r="P581" s="36">
        <f>100+250</f>
        <v>350</v>
      </c>
      <c r="Q581" s="36">
        <v>50</v>
      </c>
      <c r="R581" s="37">
        <f t="shared" si="133"/>
        <v>400</v>
      </c>
      <c r="S581" s="36"/>
      <c r="T581" s="38">
        <v>15828</v>
      </c>
    </row>
    <row r="582" spans="2:20" ht="15.6" x14ac:dyDescent="0.3">
      <c r="B582" s="54">
        <f t="shared" si="134"/>
        <v>5</v>
      </c>
      <c r="C582" s="30" t="s">
        <v>834</v>
      </c>
      <c r="D582" s="31" t="s">
        <v>835</v>
      </c>
      <c r="E582" s="32">
        <v>45657</v>
      </c>
      <c r="F582" s="33">
        <v>2736.3918100000001</v>
      </c>
      <c r="G582" s="34">
        <v>10</v>
      </c>
      <c r="H582" s="35">
        <f t="shared" si="131"/>
        <v>273.63918100000001</v>
      </c>
      <c r="I582" s="33"/>
      <c r="J582" s="33"/>
      <c r="K582" s="33"/>
      <c r="L582" s="33"/>
      <c r="M582" s="33">
        <v>573.70799999999997</v>
      </c>
      <c r="N582" s="35">
        <f t="shared" si="132"/>
        <v>-26.966999999999985</v>
      </c>
      <c r="O582" s="33">
        <v>600.67499999999995</v>
      </c>
      <c r="P582" s="36">
        <v>0</v>
      </c>
      <c r="Q582" s="36">
        <v>0</v>
      </c>
      <c r="R582" s="37">
        <f t="shared" si="133"/>
        <v>0</v>
      </c>
      <c r="S582" s="36"/>
      <c r="T582" s="38"/>
    </row>
    <row r="583" spans="2:20" ht="15.6" x14ac:dyDescent="0.3">
      <c r="B583" s="25"/>
      <c r="C583" s="25"/>
      <c r="D583" s="25"/>
      <c r="E583" s="25"/>
      <c r="F583" s="25"/>
      <c r="G583" s="40"/>
      <c r="H583" s="41"/>
      <c r="I583" s="27"/>
      <c r="J583" s="27"/>
      <c r="K583" s="27"/>
      <c r="L583" s="27"/>
      <c r="M583" s="27"/>
      <c r="N583" s="42"/>
      <c r="O583" s="27"/>
      <c r="P583" s="27"/>
      <c r="Q583" s="27"/>
      <c r="R583" s="42"/>
      <c r="S583" s="27"/>
      <c r="T583" s="27"/>
    </row>
    <row r="584" spans="2:20" ht="15.6" x14ac:dyDescent="0.3">
      <c r="B584" s="44">
        <f>COUNT(B578:B583)</f>
        <v>5</v>
      </c>
      <c r="C584" s="44"/>
      <c r="D584" s="45"/>
      <c r="E584" s="45"/>
      <c r="F584" s="45">
        <f>SUM(F578:F583)</f>
        <v>23730.536650000002</v>
      </c>
      <c r="G584" s="46"/>
      <c r="H584" s="47">
        <f t="shared" ref="H584:O584" si="135">SUM(H578:H583)</f>
        <v>2373.0536649999999</v>
      </c>
      <c r="I584" s="45">
        <f t="shared" si="135"/>
        <v>36129.599090000003</v>
      </c>
      <c r="J584" s="45">
        <f t="shared" si="135"/>
        <v>137223.92874500001</v>
      </c>
      <c r="K584" s="45">
        <f t="shared" si="135"/>
        <v>23080.052594000001</v>
      </c>
      <c r="L584" s="45">
        <f t="shared" si="135"/>
        <v>2987.5158580000002</v>
      </c>
      <c r="M584" s="45">
        <f t="shared" si="135"/>
        <v>9398.100292000001</v>
      </c>
      <c r="N584" s="48">
        <f t="shared" si="135"/>
        <v>2143.1044740000002</v>
      </c>
      <c r="O584" s="45">
        <f t="shared" si="135"/>
        <v>7254.9958180000003</v>
      </c>
      <c r="P584" s="49"/>
      <c r="Q584" s="49"/>
      <c r="R584" s="50"/>
      <c r="S584" s="49"/>
      <c r="T584" s="51">
        <f>SUM(T578:T583)</f>
        <v>36412</v>
      </c>
    </row>
    <row r="585" spans="2:20" ht="15.6" x14ac:dyDescent="0.3">
      <c r="B585" s="25"/>
      <c r="C585" s="25"/>
      <c r="D585" s="25"/>
      <c r="E585" s="25"/>
      <c r="F585" s="25"/>
      <c r="G585" s="40"/>
      <c r="H585" s="41"/>
      <c r="I585" s="27"/>
      <c r="J585" s="27"/>
      <c r="K585" s="27"/>
      <c r="L585" s="27"/>
      <c r="M585" s="27"/>
      <c r="N585" s="42"/>
      <c r="O585" s="27"/>
      <c r="P585" s="27"/>
      <c r="Q585" s="27"/>
      <c r="R585" s="42"/>
      <c r="S585" s="27"/>
      <c r="T585" s="27"/>
    </row>
    <row r="586" spans="2:20" ht="15.6" x14ac:dyDescent="0.3">
      <c r="B586" s="25"/>
      <c r="C586" s="25"/>
      <c r="D586" s="25"/>
      <c r="E586" s="25"/>
      <c r="F586" s="25"/>
      <c r="G586" s="40"/>
      <c r="H586" s="41"/>
      <c r="I586" s="27"/>
      <c r="J586" s="27"/>
      <c r="K586" s="27"/>
      <c r="L586" s="27"/>
      <c r="M586" s="27"/>
      <c r="N586" s="42"/>
      <c r="O586" s="27"/>
      <c r="P586" s="27"/>
      <c r="Q586" s="27"/>
      <c r="R586" s="42"/>
      <c r="S586" s="27"/>
      <c r="T586" s="27"/>
    </row>
    <row r="587" spans="2:20" ht="18" x14ac:dyDescent="0.35">
      <c r="B587" s="25"/>
      <c r="C587" s="29">
        <v>27</v>
      </c>
      <c r="D587" s="29" t="s">
        <v>836</v>
      </c>
      <c r="E587" s="55"/>
      <c r="F587" s="55"/>
      <c r="G587" s="40"/>
      <c r="H587" s="41"/>
      <c r="I587" s="27"/>
      <c r="J587" s="27"/>
      <c r="K587" s="27"/>
      <c r="L587" s="27"/>
      <c r="M587" s="27"/>
      <c r="N587" s="42"/>
      <c r="O587" s="27"/>
      <c r="P587" s="27"/>
      <c r="Q587" s="27"/>
      <c r="R587" s="42"/>
      <c r="S587" s="27"/>
      <c r="T587" s="27"/>
    </row>
    <row r="588" spans="2:20" ht="15.6" x14ac:dyDescent="0.3">
      <c r="B588" s="25"/>
      <c r="C588" s="25"/>
      <c r="D588" s="25"/>
      <c r="E588" s="25"/>
      <c r="F588" s="25"/>
      <c r="G588" s="40"/>
      <c r="H588" s="41"/>
      <c r="I588" s="27"/>
      <c r="J588" s="27"/>
      <c r="K588" s="27"/>
      <c r="L588" s="27"/>
      <c r="M588" s="27"/>
      <c r="N588" s="42"/>
      <c r="O588" s="27"/>
      <c r="P588" s="27"/>
      <c r="Q588" s="27"/>
      <c r="R588" s="42"/>
      <c r="S588" s="27"/>
      <c r="T588" s="27"/>
    </row>
    <row r="589" spans="2:20" ht="15.6" x14ac:dyDescent="0.3">
      <c r="B589" s="30">
        <v>1</v>
      </c>
      <c r="C589" s="30" t="s">
        <v>837</v>
      </c>
      <c r="D589" s="31" t="s">
        <v>838</v>
      </c>
      <c r="E589" s="32">
        <v>45657</v>
      </c>
      <c r="F589" s="33">
        <v>4175.7142400000002</v>
      </c>
      <c r="G589" s="34">
        <v>10</v>
      </c>
      <c r="H589" s="35">
        <f t="shared" ref="H589:H604" si="136">+F589/G589</f>
        <v>417.57142400000004</v>
      </c>
      <c r="I589" s="33"/>
      <c r="J589" s="33"/>
      <c r="K589" s="33"/>
      <c r="L589" s="33"/>
      <c r="M589" s="33">
        <v>573.245</v>
      </c>
      <c r="N589" s="35">
        <f t="shared" ref="N589:N604" si="137">+M589-O589</f>
        <v>34.149000000000001</v>
      </c>
      <c r="O589" s="33">
        <v>539.096</v>
      </c>
      <c r="P589" s="36">
        <v>0</v>
      </c>
      <c r="Q589" s="36">
        <v>0</v>
      </c>
      <c r="R589" s="37">
        <f t="shared" ref="R589:R604" si="138">SUM(P589:Q589)</f>
        <v>0</v>
      </c>
      <c r="S589" s="36"/>
      <c r="T589" s="38"/>
    </row>
    <row r="590" spans="2:20" ht="15.6" x14ac:dyDescent="0.3">
      <c r="B590" s="30">
        <f>+B589+1</f>
        <v>2</v>
      </c>
      <c r="C590" s="30" t="s">
        <v>839</v>
      </c>
      <c r="D590" s="31" t="s">
        <v>840</v>
      </c>
      <c r="E590" s="32">
        <v>45473</v>
      </c>
      <c r="F590" s="33">
        <v>3952.6923099999999</v>
      </c>
      <c r="G590" s="34">
        <v>10</v>
      </c>
      <c r="H590" s="35">
        <f>+F590/G590</f>
        <v>395.26923099999999</v>
      </c>
      <c r="I590" s="33">
        <v>13555.794518999999</v>
      </c>
      <c r="J590" s="33">
        <v>24136.593491</v>
      </c>
      <c r="K590" s="33">
        <v>56282.418796999998</v>
      </c>
      <c r="L590" s="33">
        <v>1303.3856860000001</v>
      </c>
      <c r="M590" s="33">
        <v>3211.567618</v>
      </c>
      <c r="N590" s="35">
        <f>+M590-O590</f>
        <v>152.2257410000002</v>
      </c>
      <c r="O590" s="33">
        <v>3059.3418769999998</v>
      </c>
      <c r="P590" s="36">
        <f>20+40</f>
        <v>60</v>
      </c>
      <c r="Q590" s="36">
        <v>0</v>
      </c>
      <c r="R590" s="37">
        <f>SUM(P590:Q590)</f>
        <v>60</v>
      </c>
      <c r="S590" s="36"/>
      <c r="T590" s="38">
        <v>5797</v>
      </c>
    </row>
    <row r="591" spans="2:20" ht="15.6" x14ac:dyDescent="0.3">
      <c r="B591" s="30">
        <f>+B590+1</f>
        <v>3</v>
      </c>
      <c r="C591" s="30" t="s">
        <v>841</v>
      </c>
      <c r="D591" s="31" t="s">
        <v>842</v>
      </c>
      <c r="E591" s="32">
        <v>45473</v>
      </c>
      <c r="F591" s="33">
        <v>5</v>
      </c>
      <c r="G591" s="34">
        <v>10</v>
      </c>
      <c r="H591" s="35">
        <f>+F591/G591</f>
        <v>0.5</v>
      </c>
      <c r="I591" s="33">
        <v>35.47</v>
      </c>
      <c r="J591" s="33">
        <v>946.322</v>
      </c>
      <c r="K591" s="33">
        <v>55.57</v>
      </c>
      <c r="L591" s="33">
        <v>3.0000000000000001E-3</v>
      </c>
      <c r="M591" s="33">
        <v>34.889000000000003</v>
      </c>
      <c r="N591" s="35">
        <f>+M591-O591</f>
        <v>4.0000000000006253E-2</v>
      </c>
      <c r="O591" s="33">
        <v>34.848999999999997</v>
      </c>
      <c r="P591" s="36">
        <v>0</v>
      </c>
      <c r="Q591" s="36">
        <v>0</v>
      </c>
      <c r="R591" s="37">
        <f>SUM(P591:Q591)</f>
        <v>0</v>
      </c>
      <c r="S591" s="36"/>
      <c r="T591" s="38">
        <v>578</v>
      </c>
    </row>
    <row r="592" spans="2:20" ht="15.6" x14ac:dyDescent="0.3">
      <c r="B592" s="30">
        <f t="shared" ref="B592:B604" si="139">+B591+1</f>
        <v>4</v>
      </c>
      <c r="C592" s="30" t="s">
        <v>843</v>
      </c>
      <c r="D592" s="31" t="s">
        <v>844</v>
      </c>
      <c r="E592" s="32">
        <v>45473</v>
      </c>
      <c r="F592" s="33">
        <v>1134</v>
      </c>
      <c r="G592" s="34">
        <v>1</v>
      </c>
      <c r="H592" s="35">
        <f t="shared" si="136"/>
        <v>1134</v>
      </c>
      <c r="I592" s="33">
        <v>9856.4561369999992</v>
      </c>
      <c r="J592" s="33">
        <v>10996.532064999999</v>
      </c>
      <c r="K592" s="33">
        <v>8307.6661299999996</v>
      </c>
      <c r="L592" s="33">
        <v>35.641323</v>
      </c>
      <c r="M592" s="33">
        <v>2872.9676840000002</v>
      </c>
      <c r="N592" s="35">
        <f t="shared" si="137"/>
        <v>262.37592700000005</v>
      </c>
      <c r="O592" s="33">
        <v>2610.5917570000001</v>
      </c>
      <c r="P592" s="36">
        <v>0</v>
      </c>
      <c r="Q592" s="36">
        <v>0</v>
      </c>
      <c r="R592" s="37">
        <f t="shared" si="138"/>
        <v>0</v>
      </c>
      <c r="S592" s="36"/>
      <c r="T592" s="38">
        <v>4916</v>
      </c>
    </row>
    <row r="593" spans="2:20" ht="15.6" x14ac:dyDescent="0.3">
      <c r="B593" s="30">
        <f t="shared" si="139"/>
        <v>5</v>
      </c>
      <c r="C593" s="30" t="s">
        <v>845</v>
      </c>
      <c r="D593" s="31" t="s">
        <v>846</v>
      </c>
      <c r="E593" s="32">
        <v>45473</v>
      </c>
      <c r="F593" s="33">
        <v>1788.5101</v>
      </c>
      <c r="G593" s="34">
        <v>10</v>
      </c>
      <c r="H593" s="35">
        <f t="shared" si="136"/>
        <v>178.85101</v>
      </c>
      <c r="I593" s="33">
        <v>-1053.964931</v>
      </c>
      <c r="J593" s="33">
        <v>236.66753800000001</v>
      </c>
      <c r="K593" s="33">
        <v>67.244759000000002</v>
      </c>
      <c r="L593" s="33">
        <v>95.680239999999998</v>
      </c>
      <c r="M593" s="33">
        <v>-3.0738470000000002</v>
      </c>
      <c r="N593" s="35">
        <f t="shared" si="137"/>
        <v>0</v>
      </c>
      <c r="O593" s="33">
        <v>-3.0738470000000002</v>
      </c>
      <c r="P593" s="36">
        <v>0</v>
      </c>
      <c r="Q593" s="36">
        <v>0</v>
      </c>
      <c r="R593" s="37">
        <f t="shared" si="138"/>
        <v>0</v>
      </c>
      <c r="S593" s="36"/>
      <c r="T593" s="38">
        <v>2818</v>
      </c>
    </row>
    <row r="594" spans="2:20" ht="15.6" x14ac:dyDescent="0.3">
      <c r="B594" s="30">
        <f t="shared" si="139"/>
        <v>6</v>
      </c>
      <c r="C594" s="30" t="s">
        <v>847</v>
      </c>
      <c r="D594" s="31" t="s">
        <v>848</v>
      </c>
      <c r="E594" s="32">
        <v>45473</v>
      </c>
      <c r="F594" s="33">
        <v>898.36923000000002</v>
      </c>
      <c r="G594" s="34">
        <v>10</v>
      </c>
      <c r="H594" s="35">
        <f t="shared" si="136"/>
        <v>89.836922999999999</v>
      </c>
      <c r="I594" s="33">
        <v>10562.679</v>
      </c>
      <c r="J594" s="33">
        <v>14372.236000000001</v>
      </c>
      <c r="K594" s="33">
        <v>9280.6470000000008</v>
      </c>
      <c r="L594" s="33">
        <v>313.78300000000002</v>
      </c>
      <c r="M594" s="33">
        <v>1384.1590000000001</v>
      </c>
      <c r="N594" s="35">
        <f t="shared" si="137"/>
        <v>0</v>
      </c>
      <c r="O594" s="33">
        <v>1384.1590000000001</v>
      </c>
      <c r="P594" s="36">
        <v>30</v>
      </c>
      <c r="Q594" s="36">
        <v>0</v>
      </c>
      <c r="R594" s="37">
        <f t="shared" si="138"/>
        <v>30</v>
      </c>
      <c r="S594" s="36"/>
      <c r="T594" s="38">
        <v>6457</v>
      </c>
    </row>
    <row r="595" spans="2:20" ht="15.6" x14ac:dyDescent="0.3">
      <c r="B595" s="30">
        <f t="shared" si="139"/>
        <v>7</v>
      </c>
      <c r="C595" s="30" t="s">
        <v>849</v>
      </c>
      <c r="D595" s="31" t="s">
        <v>850</v>
      </c>
      <c r="E595" s="32">
        <v>45657</v>
      </c>
      <c r="F595" s="33">
        <v>1572.6250199999999</v>
      </c>
      <c r="G595" s="34">
        <v>10</v>
      </c>
      <c r="H595" s="35">
        <f t="shared" si="136"/>
        <v>157.26250199999998</v>
      </c>
      <c r="I595" s="33"/>
      <c r="J595" s="33"/>
      <c r="K595" s="33"/>
      <c r="L595" s="33"/>
      <c r="M595" s="33">
        <v>212.34800000000001</v>
      </c>
      <c r="N595" s="35">
        <f t="shared" si="137"/>
        <v>6.8020000000000209</v>
      </c>
      <c r="O595" s="33">
        <v>205.54599999999999</v>
      </c>
      <c r="P595" s="36">
        <v>0</v>
      </c>
      <c r="Q595" s="36">
        <v>0</v>
      </c>
      <c r="R595" s="37">
        <f t="shared" ref="R595" si="140">SUM(P595:Q595)</f>
        <v>0</v>
      </c>
      <c r="S595" s="36"/>
      <c r="T595" s="38"/>
    </row>
    <row r="596" spans="2:20" ht="15.6" x14ac:dyDescent="0.3">
      <c r="B596" s="30">
        <f t="shared" si="139"/>
        <v>8</v>
      </c>
      <c r="C596" s="54" t="s">
        <v>851</v>
      </c>
      <c r="D596" s="31" t="s">
        <v>852</v>
      </c>
      <c r="E596" s="32">
        <v>45473</v>
      </c>
      <c r="F596" s="33">
        <v>118.5921</v>
      </c>
      <c r="G596" s="34">
        <v>10</v>
      </c>
      <c r="H596" s="35">
        <f t="shared" si="136"/>
        <v>11.859210000000001</v>
      </c>
      <c r="I596" s="33">
        <v>1376.6444959999999</v>
      </c>
      <c r="J596" s="33">
        <v>1981.074738</v>
      </c>
      <c r="K596" s="33">
        <v>1685.3943200000001</v>
      </c>
      <c r="L596" s="33">
        <v>33.042051000000001</v>
      </c>
      <c r="M596" s="33">
        <v>264.44071700000001</v>
      </c>
      <c r="N596" s="35">
        <f t="shared" si="137"/>
        <v>72.217079000000012</v>
      </c>
      <c r="O596" s="33">
        <v>192.22363799999999</v>
      </c>
      <c r="P596" s="36">
        <v>35</v>
      </c>
      <c r="Q596" s="36">
        <v>0</v>
      </c>
      <c r="R596" s="37">
        <f t="shared" si="138"/>
        <v>35</v>
      </c>
      <c r="S596" s="36"/>
      <c r="T596" s="38">
        <v>2207</v>
      </c>
    </row>
    <row r="597" spans="2:20" ht="15.6" x14ac:dyDescent="0.3">
      <c r="B597" s="30">
        <f t="shared" si="139"/>
        <v>9</v>
      </c>
      <c r="C597" s="54" t="s">
        <v>853</v>
      </c>
      <c r="D597" s="31" t="s">
        <v>854</v>
      </c>
      <c r="E597" s="32">
        <v>45657</v>
      </c>
      <c r="F597" s="33">
        <v>51000</v>
      </c>
      <c r="G597" s="34">
        <v>10</v>
      </c>
      <c r="H597" s="35">
        <f t="shared" si="136"/>
        <v>5100</v>
      </c>
      <c r="I597" s="33">
        <v>115107.505</v>
      </c>
      <c r="J597" s="33">
        <v>457686.31300000002</v>
      </c>
      <c r="K597" s="33">
        <v>107766.30899999999</v>
      </c>
      <c r="L597" s="33">
        <v>22588.481</v>
      </c>
      <c r="M597" s="33">
        <v>6885.4560000000001</v>
      </c>
      <c r="N597" s="35">
        <f t="shared" si="137"/>
        <v>2059.6130000000003</v>
      </c>
      <c r="O597" s="33">
        <v>4825.8429999999998</v>
      </c>
      <c r="P597" s="36">
        <v>0</v>
      </c>
      <c r="Q597" s="36">
        <v>0</v>
      </c>
      <c r="R597" s="37">
        <f t="shared" si="138"/>
        <v>0</v>
      </c>
      <c r="S597" s="36"/>
      <c r="T597" s="38">
        <v>40956</v>
      </c>
    </row>
    <row r="598" spans="2:20" ht="15.6" x14ac:dyDescent="0.3">
      <c r="B598" s="30">
        <f t="shared" si="139"/>
        <v>10</v>
      </c>
      <c r="C598" s="54" t="s">
        <v>855</v>
      </c>
      <c r="D598" s="31" t="s">
        <v>856</v>
      </c>
      <c r="E598" s="32">
        <v>45473</v>
      </c>
      <c r="F598" s="33">
        <v>285.24552399999999</v>
      </c>
      <c r="G598" s="34">
        <v>1</v>
      </c>
      <c r="H598" s="35">
        <f t="shared" si="136"/>
        <v>285.24552399999999</v>
      </c>
      <c r="I598" s="33">
        <v>850.52354800000001</v>
      </c>
      <c r="J598" s="33">
        <v>1086.7892059999999</v>
      </c>
      <c r="K598" s="33">
        <v>412.93474600000002</v>
      </c>
      <c r="L598" s="33">
        <v>27.415199000000001</v>
      </c>
      <c r="M598" s="33">
        <v>141.30770000000001</v>
      </c>
      <c r="N598" s="35">
        <f t="shared" si="137"/>
        <v>10.753352000000007</v>
      </c>
      <c r="O598" s="33">
        <v>130.554348</v>
      </c>
      <c r="P598" s="36">
        <v>10</v>
      </c>
      <c r="Q598" s="36">
        <v>0</v>
      </c>
      <c r="R598" s="37">
        <f t="shared" ref="R598" si="141">SUM(P598:Q598)</f>
        <v>10</v>
      </c>
      <c r="S598" s="36"/>
      <c r="T598" s="38">
        <v>4171</v>
      </c>
    </row>
    <row r="599" spans="2:20" ht="15.6" x14ac:dyDescent="0.3">
      <c r="B599" s="30">
        <f t="shared" si="139"/>
        <v>11</v>
      </c>
      <c r="C599" s="54" t="s">
        <v>857</v>
      </c>
      <c r="D599" s="31" t="s">
        <v>858</v>
      </c>
      <c r="E599" s="32">
        <v>45657</v>
      </c>
      <c r="F599" s="33">
        <v>2929.8614889999999</v>
      </c>
      <c r="G599" s="34">
        <v>10</v>
      </c>
      <c r="H599" s="35">
        <f t="shared" si="136"/>
        <v>292.98614889999999</v>
      </c>
      <c r="I599" s="33">
        <v>32883.53673</v>
      </c>
      <c r="J599" s="33">
        <v>43337.263433</v>
      </c>
      <c r="K599" s="33">
        <v>38526.983551999998</v>
      </c>
      <c r="L599" s="33">
        <v>235.179969</v>
      </c>
      <c r="M599" s="33">
        <v>6214.3074790000001</v>
      </c>
      <c r="N599" s="35">
        <f t="shared" si="137"/>
        <v>99.010303000000022</v>
      </c>
      <c r="O599" s="33">
        <v>6115.297176</v>
      </c>
      <c r="P599" s="36">
        <v>60</v>
      </c>
      <c r="Q599" s="36">
        <v>0</v>
      </c>
      <c r="R599" s="37">
        <f t="shared" si="138"/>
        <v>60</v>
      </c>
      <c r="S599" s="36"/>
      <c r="T599" s="38">
        <v>8253</v>
      </c>
    </row>
    <row r="600" spans="2:20" ht="15.6" x14ac:dyDescent="0.3">
      <c r="B600" s="30">
        <f t="shared" si="139"/>
        <v>12</v>
      </c>
      <c r="C600" s="54" t="s">
        <v>859</v>
      </c>
      <c r="D600" s="31" t="s">
        <v>860</v>
      </c>
      <c r="E600" s="32">
        <v>45473</v>
      </c>
      <c r="F600" s="33">
        <v>1872.63093</v>
      </c>
      <c r="G600" s="34">
        <v>10</v>
      </c>
      <c r="H600" s="35">
        <f t="shared" si="136"/>
        <v>187.263093</v>
      </c>
      <c r="I600" s="33">
        <v>2507.2778589999998</v>
      </c>
      <c r="J600" s="33">
        <v>6267.2828589999999</v>
      </c>
      <c r="K600" s="33">
        <v>2542.596638</v>
      </c>
      <c r="L600" s="33">
        <v>515.04132800000002</v>
      </c>
      <c r="M600" s="33">
        <v>134.33597800000001</v>
      </c>
      <c r="N600" s="35">
        <f t="shared" si="137"/>
        <v>-0.68845199999998385</v>
      </c>
      <c r="O600" s="33">
        <v>135.02443</v>
      </c>
      <c r="P600" s="36">
        <v>0</v>
      </c>
      <c r="Q600" s="36">
        <v>0</v>
      </c>
      <c r="R600" s="37">
        <f t="shared" ref="R600" si="142">SUM(P600:Q600)</f>
        <v>0</v>
      </c>
      <c r="S600" s="36"/>
      <c r="T600" s="38">
        <v>1331</v>
      </c>
    </row>
    <row r="601" spans="2:20" ht="15.6" x14ac:dyDescent="0.3">
      <c r="B601" s="30">
        <f t="shared" si="139"/>
        <v>13</v>
      </c>
      <c r="C601" s="54" t="s">
        <v>861</v>
      </c>
      <c r="D601" s="31" t="s">
        <v>862</v>
      </c>
      <c r="E601" s="32">
        <v>45473</v>
      </c>
      <c r="F601" s="33">
        <v>3386.25</v>
      </c>
      <c r="G601" s="34">
        <v>10</v>
      </c>
      <c r="H601" s="35">
        <f t="shared" si="136"/>
        <v>338.625</v>
      </c>
      <c r="I601" s="33">
        <v>3024.4749999999999</v>
      </c>
      <c r="J601" s="33">
        <v>5120.875</v>
      </c>
      <c r="K601" s="33">
        <v>2294.683</v>
      </c>
      <c r="L601" s="33">
        <v>104.684</v>
      </c>
      <c r="M601" s="33">
        <v>376.78800000000001</v>
      </c>
      <c r="N601" s="35">
        <f t="shared" si="137"/>
        <v>128.38600000000002</v>
      </c>
      <c r="O601" s="33">
        <v>248.40199999999999</v>
      </c>
      <c r="P601" s="36">
        <v>0</v>
      </c>
      <c r="Q601" s="36">
        <v>0</v>
      </c>
      <c r="R601" s="37">
        <f t="shared" si="138"/>
        <v>0</v>
      </c>
      <c r="S601" s="36"/>
      <c r="T601" s="38">
        <v>11080</v>
      </c>
    </row>
    <row r="602" spans="2:20" ht="15.6" x14ac:dyDescent="0.3">
      <c r="B602" s="30">
        <f t="shared" si="139"/>
        <v>14</v>
      </c>
      <c r="C602" s="30" t="s">
        <v>863</v>
      </c>
      <c r="D602" s="31" t="s">
        <v>864</v>
      </c>
      <c r="E602" s="32">
        <v>45473</v>
      </c>
      <c r="F602" s="33">
        <v>2672.9776299999999</v>
      </c>
      <c r="G602" s="34">
        <v>10</v>
      </c>
      <c r="H602" s="35">
        <f>+F602/G602</f>
        <v>267.29776299999997</v>
      </c>
      <c r="I602" s="33">
        <v>805.21158800000001</v>
      </c>
      <c r="J602" s="33">
        <v>6671.2736850000001</v>
      </c>
      <c r="K602" s="33">
        <v>314.67471</v>
      </c>
      <c r="L602" s="33">
        <v>1488.137645</v>
      </c>
      <c r="M602" s="33">
        <v>-1350.475565</v>
      </c>
      <c r="N602" s="35">
        <f>+M602-O602</f>
        <v>48.389302999999927</v>
      </c>
      <c r="O602" s="33">
        <v>-1398.8648679999999</v>
      </c>
      <c r="P602" s="36">
        <v>0</v>
      </c>
      <c r="Q602" s="36">
        <v>0</v>
      </c>
      <c r="R602" s="37">
        <f>SUM(P602:Q602)</f>
        <v>0</v>
      </c>
      <c r="S602" s="36"/>
      <c r="T602" s="38">
        <v>4141</v>
      </c>
    </row>
    <row r="603" spans="2:20" ht="15.6" x14ac:dyDescent="0.3">
      <c r="B603" s="30">
        <f t="shared" si="139"/>
        <v>15</v>
      </c>
      <c r="C603" s="30" t="s">
        <v>865</v>
      </c>
      <c r="D603" s="31" t="s">
        <v>866</v>
      </c>
      <c r="E603" s="32">
        <v>45473</v>
      </c>
      <c r="F603" s="33">
        <v>5453.9066499999999</v>
      </c>
      <c r="G603" s="34">
        <v>10</v>
      </c>
      <c r="H603" s="35">
        <f t="shared" si="136"/>
        <v>545.39066500000001</v>
      </c>
      <c r="I603" s="33">
        <v>33286.017</v>
      </c>
      <c r="J603" s="33">
        <v>40582.03</v>
      </c>
      <c r="K603" s="33">
        <v>2.5619999999999998</v>
      </c>
      <c r="L603" s="33">
        <v>0</v>
      </c>
      <c r="M603" s="33">
        <v>-36234.114999999998</v>
      </c>
      <c r="N603" s="35">
        <f t="shared" si="137"/>
        <v>-5386.0149999999994</v>
      </c>
      <c r="O603" s="33">
        <v>-30848.1</v>
      </c>
      <c r="P603" s="36">
        <v>0</v>
      </c>
      <c r="Q603" s="36">
        <v>0</v>
      </c>
      <c r="R603" s="37">
        <f t="shared" si="138"/>
        <v>0</v>
      </c>
      <c r="S603" s="36"/>
      <c r="T603" s="38">
        <v>12563</v>
      </c>
    </row>
    <row r="604" spans="2:20" ht="15.6" x14ac:dyDescent="0.3">
      <c r="B604" s="30">
        <f t="shared" si="139"/>
        <v>16</v>
      </c>
      <c r="C604" s="54" t="s">
        <v>867</v>
      </c>
      <c r="D604" s="31" t="s">
        <v>868</v>
      </c>
      <c r="E604" s="32">
        <v>45657</v>
      </c>
      <c r="F604" s="33">
        <v>49822.889000000003</v>
      </c>
      <c r="G604" s="34">
        <v>10</v>
      </c>
      <c r="H604" s="35">
        <f t="shared" si="136"/>
        <v>4982.2889000000005</v>
      </c>
      <c r="I604" s="33">
        <v>42.155999999999999</v>
      </c>
      <c r="J604" s="33">
        <v>14920.302</v>
      </c>
      <c r="K604" s="33">
        <v>5046.4399999999996</v>
      </c>
      <c r="L604" s="33">
        <v>670.62900000000002</v>
      </c>
      <c r="M604" s="33">
        <v>-1358.5119999999999</v>
      </c>
      <c r="N604" s="35">
        <f t="shared" si="137"/>
        <v>9.6999999999979991E-2</v>
      </c>
      <c r="O604" s="33">
        <v>-1358.6089999999999</v>
      </c>
      <c r="P604" s="36">
        <v>0</v>
      </c>
      <c r="Q604" s="36">
        <v>0</v>
      </c>
      <c r="R604" s="37">
        <f t="shared" si="138"/>
        <v>0</v>
      </c>
      <c r="S604" s="36"/>
      <c r="T604" s="38">
        <v>27841</v>
      </c>
    </row>
    <row r="605" spans="2:20" ht="15.6" x14ac:dyDescent="0.3">
      <c r="B605" s="57"/>
      <c r="C605" s="56"/>
      <c r="D605" s="58"/>
      <c r="E605" s="59"/>
      <c r="F605" s="60"/>
      <c r="G605" s="40"/>
      <c r="H605" s="61"/>
      <c r="I605" s="60"/>
      <c r="J605" s="60"/>
      <c r="K605" s="60"/>
      <c r="L605" s="60"/>
      <c r="M605" s="60"/>
      <c r="N605" s="61"/>
      <c r="O605" s="60"/>
      <c r="P605" s="62"/>
      <c r="Q605" s="62"/>
      <c r="R605" s="63"/>
      <c r="S605" s="62"/>
      <c r="T605" s="64"/>
    </row>
    <row r="606" spans="2:20" ht="15.6" x14ac:dyDescent="0.3">
      <c r="B606" s="44">
        <f>COUNT(B589:B605)</f>
        <v>16</v>
      </c>
      <c r="C606" s="44"/>
      <c r="D606" s="45"/>
      <c r="E606" s="45"/>
      <c r="F606" s="45">
        <f>SUM(F589:F605)</f>
        <v>131069.26422300001</v>
      </c>
      <c r="G606" s="46"/>
      <c r="H606" s="47">
        <f t="shared" ref="H606:O606" si="143">SUM(H589:H605)</f>
        <v>14384.247393900001</v>
      </c>
      <c r="I606" s="45">
        <f t="shared" si="143"/>
        <v>222839.78194599997</v>
      </c>
      <c r="J606" s="45">
        <f t="shared" si="143"/>
        <v>628341.55501500005</v>
      </c>
      <c r="K606" s="45">
        <f t="shared" si="143"/>
        <v>232586.12465199997</v>
      </c>
      <c r="L606" s="45">
        <f t="shared" si="143"/>
        <v>27411.103440999999</v>
      </c>
      <c r="M606" s="45">
        <f t="shared" si="143"/>
        <v>-16640.364235999998</v>
      </c>
      <c r="N606" s="48">
        <f t="shared" si="143"/>
        <v>-2512.6447469999985</v>
      </c>
      <c r="O606" s="45">
        <f t="shared" si="143"/>
        <v>-14127.719488999999</v>
      </c>
      <c r="P606" s="49"/>
      <c r="Q606" s="49"/>
      <c r="R606" s="50"/>
      <c r="S606" s="49"/>
      <c r="T606" s="51">
        <f>SUM(T589:T605)</f>
        <v>133109</v>
      </c>
    </row>
    <row r="607" spans="2:20" ht="15.6" x14ac:dyDescent="0.3">
      <c r="B607" s="25"/>
      <c r="C607" s="25"/>
      <c r="D607" s="25"/>
      <c r="E607" s="25"/>
      <c r="F607" s="25"/>
      <c r="G607" s="40"/>
      <c r="H607" s="41"/>
      <c r="I607" s="27"/>
      <c r="J607" s="27"/>
      <c r="K607" s="27"/>
      <c r="L607" s="27"/>
      <c r="M607" s="27"/>
      <c r="N607" s="42"/>
      <c r="O607" s="27"/>
      <c r="P607" s="27"/>
      <c r="Q607" s="27"/>
      <c r="R607" s="42"/>
      <c r="S607" s="27"/>
      <c r="T607" s="27"/>
    </row>
    <row r="608" spans="2:20" ht="15.6" x14ac:dyDescent="0.3">
      <c r="B608" s="25"/>
      <c r="C608" s="25"/>
      <c r="D608" s="25"/>
      <c r="E608" s="25"/>
      <c r="F608" s="25"/>
      <c r="G608" s="40"/>
      <c r="H608" s="41"/>
      <c r="I608" s="27"/>
      <c r="J608" s="27"/>
      <c r="K608" s="27"/>
      <c r="L608" s="27"/>
      <c r="M608" s="27"/>
      <c r="N608" s="42"/>
      <c r="O608" s="27"/>
      <c r="P608" s="27"/>
      <c r="Q608" s="27"/>
      <c r="R608" s="42"/>
      <c r="S608" s="27"/>
      <c r="T608" s="27"/>
    </row>
    <row r="609" spans="2:20" ht="18" x14ac:dyDescent="0.35">
      <c r="B609" s="25"/>
      <c r="C609" s="29">
        <v>28</v>
      </c>
      <c r="D609" s="29" t="s">
        <v>869</v>
      </c>
      <c r="E609" s="55"/>
      <c r="F609" s="55"/>
      <c r="G609" s="40"/>
      <c r="H609" s="41"/>
      <c r="I609" s="27"/>
      <c r="J609" s="27"/>
      <c r="K609" s="27"/>
      <c r="L609" s="27"/>
      <c r="M609" s="27"/>
      <c r="N609" s="42"/>
      <c r="O609" s="27"/>
      <c r="P609" s="27"/>
      <c r="Q609" s="27"/>
      <c r="R609" s="42"/>
      <c r="S609" s="27"/>
      <c r="T609" s="27"/>
    </row>
    <row r="610" spans="2:20" ht="15.6" x14ac:dyDescent="0.3">
      <c r="B610" s="25"/>
      <c r="C610" s="25"/>
      <c r="D610" s="25"/>
      <c r="E610" s="25"/>
      <c r="F610" s="25"/>
      <c r="G610" s="40"/>
      <c r="H610" s="41"/>
      <c r="I610" s="27"/>
      <c r="J610" s="27"/>
      <c r="K610" s="27"/>
      <c r="L610" s="27"/>
      <c r="M610" s="27"/>
      <c r="N610" s="42"/>
      <c r="O610" s="27"/>
      <c r="P610" s="27"/>
      <c r="Q610" s="27"/>
      <c r="R610" s="42"/>
      <c r="S610" s="27"/>
      <c r="T610" s="27"/>
    </row>
    <row r="611" spans="2:20" ht="15.6" x14ac:dyDescent="0.3">
      <c r="B611" s="54">
        <v>1</v>
      </c>
      <c r="C611" s="54" t="s">
        <v>870</v>
      </c>
      <c r="D611" s="31" t="s">
        <v>871</v>
      </c>
      <c r="E611" s="32">
        <v>45473</v>
      </c>
      <c r="F611" s="33">
        <v>4083.75</v>
      </c>
      <c r="G611" s="34">
        <v>10</v>
      </c>
      <c r="H611" s="35">
        <f t="shared" ref="H611:H615" si="144">+F611/G611</f>
        <v>408.375</v>
      </c>
      <c r="I611" s="33">
        <v>34069.438785999999</v>
      </c>
      <c r="J611" s="33">
        <v>38304.031598000001</v>
      </c>
      <c r="K611" s="33">
        <v>3795.8360779999998</v>
      </c>
      <c r="L611" s="33">
        <v>302.83479999999997</v>
      </c>
      <c r="M611" s="33">
        <v>10860.125867999999</v>
      </c>
      <c r="N611" s="35">
        <f t="shared" ref="N611:N615" si="145">+M611-O611</f>
        <v>1429.5283629999994</v>
      </c>
      <c r="O611" s="33">
        <v>9430.5975049999997</v>
      </c>
      <c r="P611" s="36">
        <v>70</v>
      </c>
      <c r="Q611" s="36">
        <v>0</v>
      </c>
      <c r="R611" s="37">
        <f t="shared" ref="R611:R615" si="146">SUM(P611:Q611)</f>
        <v>70</v>
      </c>
      <c r="S611" s="36"/>
      <c r="T611" s="38">
        <v>2924</v>
      </c>
    </row>
    <row r="612" spans="2:20" ht="15.6" x14ac:dyDescent="0.3">
      <c r="B612" s="54">
        <f>+B611+1</f>
        <v>2</v>
      </c>
      <c r="C612" s="54" t="s">
        <v>872</v>
      </c>
      <c r="D612" s="31" t="s">
        <v>873</v>
      </c>
      <c r="E612" s="32">
        <v>45657</v>
      </c>
      <c r="F612" s="33">
        <v>13352.993</v>
      </c>
      <c r="G612" s="34">
        <v>10</v>
      </c>
      <c r="H612" s="35">
        <f t="shared" si="144"/>
        <v>1335.2993000000001</v>
      </c>
      <c r="I612" s="33">
        <v>46528.656999999999</v>
      </c>
      <c r="J612" s="33">
        <v>162922.13099999999</v>
      </c>
      <c r="K612" s="33">
        <v>186708.95800000001</v>
      </c>
      <c r="L612" s="33">
        <v>3981.835</v>
      </c>
      <c r="M612" s="33">
        <v>44819.745999999999</v>
      </c>
      <c r="N612" s="35">
        <f t="shared" si="145"/>
        <v>14612.984</v>
      </c>
      <c r="O612" s="33">
        <v>30206.761999999999</v>
      </c>
      <c r="P612" s="36">
        <f>80+30+25+80</f>
        <v>215</v>
      </c>
      <c r="Q612" s="36">
        <v>0</v>
      </c>
      <c r="R612" s="37">
        <f t="shared" si="146"/>
        <v>215</v>
      </c>
      <c r="S612" s="36"/>
      <c r="T612" s="38">
        <v>35711</v>
      </c>
    </row>
    <row r="613" spans="2:20" ht="15.6" x14ac:dyDescent="0.3">
      <c r="B613" s="54">
        <f t="shared" ref="B613:B615" si="147">+B612+1</f>
        <v>3</v>
      </c>
      <c r="C613" s="54" t="s">
        <v>874</v>
      </c>
      <c r="D613" s="31" t="s">
        <v>875</v>
      </c>
      <c r="E613" s="32">
        <v>45657</v>
      </c>
      <c r="F613" s="33">
        <v>5366.2646800000002</v>
      </c>
      <c r="G613" s="34">
        <v>10</v>
      </c>
      <c r="H613" s="35">
        <f t="shared" si="144"/>
        <v>536.62646800000005</v>
      </c>
      <c r="I613" s="33"/>
      <c r="J613" s="33"/>
      <c r="K613" s="33"/>
      <c r="L613" s="33"/>
      <c r="M613" s="33"/>
      <c r="N613" s="35">
        <f t="shared" si="145"/>
        <v>0</v>
      </c>
      <c r="O613" s="33"/>
      <c r="P613" s="36">
        <f>110+80+50</f>
        <v>240</v>
      </c>
      <c r="Q613" s="36"/>
      <c r="R613" s="37">
        <f t="shared" si="146"/>
        <v>240</v>
      </c>
      <c r="S613" s="36"/>
      <c r="T613" s="38"/>
    </row>
    <row r="614" spans="2:20" ht="15.6" x14ac:dyDescent="0.3">
      <c r="B614" s="54">
        <f t="shared" si="147"/>
        <v>4</v>
      </c>
      <c r="C614" s="54" t="s">
        <v>876</v>
      </c>
      <c r="D614" s="31" t="s">
        <v>877</v>
      </c>
      <c r="E614" s="32">
        <v>45657</v>
      </c>
      <c r="F614" s="33">
        <v>21000</v>
      </c>
      <c r="G614" s="34">
        <v>10</v>
      </c>
      <c r="H614" s="35">
        <f t="shared" si="144"/>
        <v>2100</v>
      </c>
      <c r="I614" s="33">
        <v>141732.91899999999</v>
      </c>
      <c r="J614" s="33">
        <v>302831.85800000001</v>
      </c>
      <c r="K614" s="33">
        <v>238422.133</v>
      </c>
      <c r="L614" s="33">
        <v>4750.1090000000004</v>
      </c>
      <c r="M614" s="33">
        <v>60555.612999999998</v>
      </c>
      <c r="N614" s="35">
        <f t="shared" si="145"/>
        <v>25572.375</v>
      </c>
      <c r="O614" s="33">
        <v>34983.237999999998</v>
      </c>
      <c r="P614" s="36">
        <f>27.5+42.5</f>
        <v>70</v>
      </c>
      <c r="Q614" s="36">
        <v>0</v>
      </c>
      <c r="R614" s="37">
        <f t="shared" si="146"/>
        <v>70</v>
      </c>
      <c r="S614" s="36"/>
      <c r="T614" s="38">
        <v>11652</v>
      </c>
    </row>
    <row r="615" spans="2:20" ht="15.6" x14ac:dyDescent="0.3">
      <c r="B615" s="54">
        <f t="shared" si="147"/>
        <v>5</v>
      </c>
      <c r="C615" s="54" t="s">
        <v>878</v>
      </c>
      <c r="D615" s="31" t="s">
        <v>879</v>
      </c>
      <c r="E615" s="32">
        <v>45657</v>
      </c>
      <c r="F615" s="33">
        <v>14231.085999999999</v>
      </c>
      <c r="G615" s="34">
        <v>10</v>
      </c>
      <c r="H615" s="35">
        <f t="shared" si="144"/>
        <v>1423.1086</v>
      </c>
      <c r="I615" s="33">
        <v>131880.117</v>
      </c>
      <c r="J615" s="33">
        <v>416951.72200000001</v>
      </c>
      <c r="K615" s="33">
        <v>373536.92</v>
      </c>
      <c r="L615" s="33">
        <v>6523.8950000000004</v>
      </c>
      <c r="M615" s="33">
        <v>109083.855</v>
      </c>
      <c r="N615" s="35">
        <f t="shared" si="145"/>
        <v>44352.415999999997</v>
      </c>
      <c r="O615" s="33">
        <v>64731.438999999998</v>
      </c>
      <c r="P615" s="36">
        <f>55+100+210</f>
        <v>365</v>
      </c>
      <c r="Q615" s="36">
        <v>0</v>
      </c>
      <c r="R615" s="37">
        <f t="shared" si="146"/>
        <v>365</v>
      </c>
      <c r="S615" s="36"/>
      <c r="T615" s="38">
        <v>29400</v>
      </c>
    </row>
    <row r="616" spans="2:20" ht="15.6" x14ac:dyDescent="0.3">
      <c r="B616" s="25"/>
      <c r="C616" s="25"/>
      <c r="D616" s="25"/>
      <c r="E616" s="25"/>
      <c r="F616" s="25"/>
      <c r="G616" s="40"/>
      <c r="H616" s="41"/>
      <c r="I616" s="27"/>
      <c r="J616" s="27"/>
      <c r="K616" s="27"/>
      <c r="L616" s="27"/>
      <c r="M616" s="27"/>
      <c r="N616" s="42"/>
      <c r="O616" s="27"/>
      <c r="P616" s="27"/>
      <c r="Q616" s="27"/>
      <c r="R616" s="42"/>
      <c r="S616" s="27"/>
      <c r="T616" s="27"/>
    </row>
    <row r="617" spans="2:20" ht="15.6" x14ac:dyDescent="0.3">
      <c r="B617" s="44">
        <f>COUNT(B611:B616)</f>
        <v>5</v>
      </c>
      <c r="C617" s="44"/>
      <c r="D617" s="45"/>
      <c r="E617" s="45"/>
      <c r="F617" s="45">
        <f>SUM(F611:F616)</f>
        <v>58034.093680000005</v>
      </c>
      <c r="G617" s="46"/>
      <c r="H617" s="47">
        <f t="shared" ref="H617:O617" si="148">SUM(H611:H616)</f>
        <v>5803.4093680000005</v>
      </c>
      <c r="I617" s="45">
        <f t="shared" si="148"/>
        <v>354211.13178599998</v>
      </c>
      <c r="J617" s="45">
        <f t="shared" si="148"/>
        <v>921009.74259799998</v>
      </c>
      <c r="K617" s="45">
        <f t="shared" si="148"/>
        <v>802463.84707799996</v>
      </c>
      <c r="L617" s="45">
        <f t="shared" si="148"/>
        <v>15558.6738</v>
      </c>
      <c r="M617" s="45">
        <f t="shared" si="148"/>
        <v>225319.33986800001</v>
      </c>
      <c r="N617" s="48">
        <f t="shared" si="148"/>
        <v>85967.303362999999</v>
      </c>
      <c r="O617" s="45">
        <f t="shared" si="148"/>
        <v>139352.036505</v>
      </c>
      <c r="P617" s="49"/>
      <c r="Q617" s="49"/>
      <c r="R617" s="50"/>
      <c r="S617" s="49"/>
      <c r="T617" s="51">
        <f>SUM(T611:T616)</f>
        <v>79687</v>
      </c>
    </row>
    <row r="618" spans="2:20" ht="15.6" x14ac:dyDescent="0.3">
      <c r="B618" s="25"/>
      <c r="C618" s="25"/>
      <c r="D618" s="25"/>
      <c r="E618" s="25"/>
      <c r="F618" s="25"/>
      <c r="G618" s="40"/>
      <c r="H618" s="41"/>
      <c r="I618" s="27"/>
      <c r="J618" s="27"/>
      <c r="K618" s="27"/>
      <c r="L618" s="27"/>
      <c r="M618" s="27"/>
      <c r="N618" s="42"/>
      <c r="O618" s="27"/>
      <c r="P618" s="27"/>
      <c r="Q618" s="27"/>
      <c r="R618" s="42"/>
      <c r="S618" s="27"/>
      <c r="T618" s="27"/>
    </row>
    <row r="619" spans="2:20" ht="15.6" x14ac:dyDescent="0.3">
      <c r="B619" s="25"/>
      <c r="C619" s="25"/>
      <c r="D619" s="25"/>
      <c r="E619" s="25"/>
      <c r="F619" s="25"/>
      <c r="G619" s="40"/>
      <c r="H619" s="41"/>
      <c r="I619" s="27"/>
      <c r="J619" s="27"/>
      <c r="K619" s="27"/>
      <c r="L619" s="27"/>
      <c r="M619" s="27"/>
      <c r="N619" s="42"/>
      <c r="O619" s="27"/>
      <c r="P619" s="27"/>
      <c r="Q619" s="27"/>
      <c r="R619" s="42"/>
      <c r="S619" s="27"/>
      <c r="T619" s="27"/>
    </row>
    <row r="620" spans="2:20" ht="18" x14ac:dyDescent="0.35">
      <c r="B620" s="25"/>
      <c r="C620" s="29">
        <v>29</v>
      </c>
      <c r="D620" s="29" t="s">
        <v>880</v>
      </c>
      <c r="E620" s="55"/>
      <c r="F620" s="55"/>
      <c r="G620" s="40"/>
      <c r="H620" s="41"/>
      <c r="I620" s="27"/>
      <c r="J620" s="27"/>
      <c r="K620" s="27"/>
      <c r="L620" s="27"/>
      <c r="M620" s="27"/>
      <c r="N620" s="42"/>
      <c r="O620" s="27"/>
      <c r="P620" s="27"/>
      <c r="Q620" s="27"/>
      <c r="R620" s="42"/>
      <c r="S620" s="27"/>
      <c r="T620" s="27"/>
    </row>
    <row r="621" spans="2:20" ht="15.6" x14ac:dyDescent="0.3">
      <c r="B621" s="25"/>
      <c r="C621" s="25"/>
      <c r="D621" s="25"/>
      <c r="E621" s="25"/>
      <c r="F621" s="25"/>
      <c r="G621" s="40"/>
      <c r="H621" s="41"/>
      <c r="I621" s="27"/>
      <c r="J621" s="27"/>
      <c r="K621" s="27"/>
      <c r="L621" s="27"/>
      <c r="M621" s="27"/>
      <c r="N621" s="42"/>
      <c r="O621" s="27"/>
      <c r="P621" s="27"/>
      <c r="Q621" s="27"/>
      <c r="R621" s="42"/>
      <c r="S621" s="27"/>
      <c r="T621" s="27"/>
    </row>
    <row r="622" spans="2:20" ht="15.6" x14ac:dyDescent="0.3">
      <c r="B622" s="30">
        <v>1</v>
      </c>
      <c r="C622" s="30" t="s">
        <v>881</v>
      </c>
      <c r="D622" s="31" t="s">
        <v>882</v>
      </c>
      <c r="E622" s="32">
        <v>45657</v>
      </c>
      <c r="F622" s="33">
        <v>979.00301999999999</v>
      </c>
      <c r="G622" s="34">
        <v>10</v>
      </c>
      <c r="H622" s="35">
        <f t="shared" ref="H622:H634" si="149">+F622/G622</f>
        <v>97.900301999999996</v>
      </c>
      <c r="I622" s="33">
        <v>23724.635999999999</v>
      </c>
      <c r="J622" s="33">
        <v>37651.158000000003</v>
      </c>
      <c r="K622" s="33">
        <v>68177.197</v>
      </c>
      <c r="L622" s="33">
        <v>23.614000000000001</v>
      </c>
      <c r="M622" s="33">
        <v>9021.9889999999996</v>
      </c>
      <c r="N622" s="35">
        <f t="shared" ref="N622:N634" si="150">+M622-O622</f>
        <v>3787.7559999999994</v>
      </c>
      <c r="O622" s="33">
        <v>5234.2330000000002</v>
      </c>
      <c r="P622" s="36">
        <v>100</v>
      </c>
      <c r="Q622" s="36">
        <v>0</v>
      </c>
      <c r="R622" s="37">
        <f t="shared" ref="R622:R634" si="151">SUM(P622:Q622)</f>
        <v>100</v>
      </c>
      <c r="S622" s="36"/>
      <c r="T622" s="38">
        <v>3015</v>
      </c>
    </row>
    <row r="623" spans="2:20" ht="15.6" x14ac:dyDescent="0.3">
      <c r="B623" s="30">
        <f>+B622+1</f>
        <v>2</v>
      </c>
      <c r="C623" s="30" t="s">
        <v>883</v>
      </c>
      <c r="D623" s="31" t="s">
        <v>884</v>
      </c>
      <c r="E623" s="32">
        <v>45657</v>
      </c>
      <c r="F623" s="33">
        <v>2800</v>
      </c>
      <c r="G623" s="34">
        <v>10</v>
      </c>
      <c r="H623" s="35">
        <f t="shared" si="149"/>
        <v>280</v>
      </c>
      <c r="I623" s="33">
        <v>12237.052</v>
      </c>
      <c r="J623" s="33">
        <v>18516.489000000001</v>
      </c>
      <c r="K623" s="33">
        <v>18543.808000000001</v>
      </c>
      <c r="L623" s="33">
        <v>843.17200000000003</v>
      </c>
      <c r="M623" s="33">
        <v>3147.163</v>
      </c>
      <c r="N623" s="35">
        <f t="shared" si="150"/>
        <v>1063.5819999999999</v>
      </c>
      <c r="O623" s="33">
        <v>2083.5810000000001</v>
      </c>
      <c r="P623" s="36">
        <v>40</v>
      </c>
      <c r="Q623" s="36">
        <v>0</v>
      </c>
      <c r="R623" s="37">
        <f t="shared" ref="R623:R624" si="152">SUM(P623:Q623)</f>
        <v>40</v>
      </c>
      <c r="S623" s="36"/>
      <c r="T623" s="38">
        <v>3808</v>
      </c>
    </row>
    <row r="624" spans="2:20" ht="15.6" x14ac:dyDescent="0.3">
      <c r="B624" s="30">
        <f t="shared" ref="B624:B634" si="153">+B623+1</f>
        <v>3</v>
      </c>
      <c r="C624" s="30" t="s">
        <v>885</v>
      </c>
      <c r="D624" s="31" t="s">
        <v>886</v>
      </c>
      <c r="E624" s="32">
        <v>45473</v>
      </c>
      <c r="F624" s="33">
        <v>190</v>
      </c>
      <c r="G624" s="34">
        <v>10</v>
      </c>
      <c r="H624" s="35">
        <f t="shared" si="149"/>
        <v>19</v>
      </c>
      <c r="I624" s="33">
        <v>2359.6186779999998</v>
      </c>
      <c r="J624" s="33">
        <v>5859.9649740000004</v>
      </c>
      <c r="K624" s="33">
        <v>3658.720487</v>
      </c>
      <c r="L624" s="33">
        <v>151.356821</v>
      </c>
      <c r="M624" s="33">
        <v>575.60564799999997</v>
      </c>
      <c r="N624" s="35">
        <f t="shared" si="150"/>
        <v>190.19246099999998</v>
      </c>
      <c r="O624" s="33">
        <v>385.41318699999999</v>
      </c>
      <c r="P624" s="36">
        <v>0</v>
      </c>
      <c r="Q624" s="36">
        <v>0</v>
      </c>
      <c r="R624" s="37">
        <f t="shared" si="152"/>
        <v>0</v>
      </c>
      <c r="S624" s="36"/>
      <c r="T624" s="38"/>
    </row>
    <row r="625" spans="2:20" ht="15.6" x14ac:dyDescent="0.3">
      <c r="B625" s="30">
        <f t="shared" si="153"/>
        <v>4</v>
      </c>
      <c r="C625" s="30" t="s">
        <v>887</v>
      </c>
      <c r="D625" s="31" t="s">
        <v>888</v>
      </c>
      <c r="E625" s="32">
        <v>45473</v>
      </c>
      <c r="F625" s="33">
        <v>2284.6120000000001</v>
      </c>
      <c r="G625" s="34">
        <v>10</v>
      </c>
      <c r="H625" s="35">
        <f t="shared" si="149"/>
        <v>228.46120000000002</v>
      </c>
      <c r="I625" s="33">
        <v>5633.1294420000004</v>
      </c>
      <c r="J625" s="33">
        <v>11402.428642000001</v>
      </c>
      <c r="K625" s="33">
        <v>12409.238742</v>
      </c>
      <c r="L625" s="33">
        <v>299.90638999999999</v>
      </c>
      <c r="M625" s="33">
        <v>1277.905518</v>
      </c>
      <c r="N625" s="35">
        <f t="shared" si="150"/>
        <v>444.44167100000004</v>
      </c>
      <c r="O625" s="33">
        <v>833.46384699999999</v>
      </c>
      <c r="P625" s="36">
        <v>32.5</v>
      </c>
      <c r="Q625" s="36">
        <v>0</v>
      </c>
      <c r="R625" s="37">
        <f t="shared" ref="R625" si="154">SUM(P625:Q625)</f>
        <v>32.5</v>
      </c>
      <c r="S625" s="36"/>
      <c r="T625" s="38">
        <v>8686</v>
      </c>
    </row>
    <row r="626" spans="2:20" ht="15.6" x14ac:dyDescent="0.3">
      <c r="B626" s="30">
        <f t="shared" si="153"/>
        <v>5</v>
      </c>
      <c r="C626" s="30" t="s">
        <v>889</v>
      </c>
      <c r="D626" s="31" t="s">
        <v>890</v>
      </c>
      <c r="E626" s="32">
        <v>45473</v>
      </c>
      <c r="F626" s="33">
        <v>434.69051999999999</v>
      </c>
      <c r="G626" s="34">
        <v>10</v>
      </c>
      <c r="H626" s="35">
        <f t="shared" si="149"/>
        <v>43.469051999999998</v>
      </c>
      <c r="I626" s="33">
        <v>8967.4733759999999</v>
      </c>
      <c r="J626" s="33">
        <v>15015.929824999999</v>
      </c>
      <c r="K626" s="33">
        <v>12711.714096</v>
      </c>
      <c r="L626" s="33">
        <v>527.32284100000004</v>
      </c>
      <c r="M626" s="33">
        <v>582.69230200000004</v>
      </c>
      <c r="N626" s="35">
        <f t="shared" si="150"/>
        <v>182.63802500000003</v>
      </c>
      <c r="O626" s="33">
        <v>400.05427700000001</v>
      </c>
      <c r="P626" s="36">
        <v>30</v>
      </c>
      <c r="Q626" s="36">
        <v>0</v>
      </c>
      <c r="R626" s="37">
        <f t="shared" si="151"/>
        <v>30</v>
      </c>
      <c r="S626" s="36"/>
      <c r="T626" s="38">
        <v>4196</v>
      </c>
    </row>
    <row r="627" spans="2:20" ht="15.6" x14ac:dyDescent="0.3">
      <c r="B627" s="30">
        <f t="shared" si="153"/>
        <v>6</v>
      </c>
      <c r="C627" s="30" t="s">
        <v>891</v>
      </c>
      <c r="D627" s="31" t="s">
        <v>892</v>
      </c>
      <c r="E627" s="32">
        <v>45657</v>
      </c>
      <c r="F627" s="33">
        <v>3184.672</v>
      </c>
      <c r="G627" s="34">
        <v>10</v>
      </c>
      <c r="H627" s="35">
        <f t="shared" si="149"/>
        <v>318.46719999999999</v>
      </c>
      <c r="I627" s="33">
        <v>28276.541000000001</v>
      </c>
      <c r="J627" s="33">
        <v>45055.459000000003</v>
      </c>
      <c r="K627" s="33">
        <v>61187.500999999997</v>
      </c>
      <c r="L627" s="33">
        <v>312.76900000000001</v>
      </c>
      <c r="M627" s="33">
        <v>10475.696</v>
      </c>
      <c r="N627" s="35">
        <f t="shared" si="150"/>
        <v>3939.6490000000003</v>
      </c>
      <c r="O627" s="33">
        <v>6536.0469999999996</v>
      </c>
      <c r="P627" s="36">
        <v>100</v>
      </c>
      <c r="Q627" s="36">
        <v>0</v>
      </c>
      <c r="R627" s="37">
        <f t="shared" si="151"/>
        <v>100</v>
      </c>
      <c r="S627" s="36"/>
      <c r="T627" s="38">
        <v>7270</v>
      </c>
    </row>
    <row r="628" spans="2:20" ht="15.6" x14ac:dyDescent="0.3">
      <c r="B628" s="30">
        <f t="shared" si="153"/>
        <v>7</v>
      </c>
      <c r="C628" s="30" t="s">
        <v>893</v>
      </c>
      <c r="D628" s="31" t="s">
        <v>894</v>
      </c>
      <c r="E628" s="32">
        <v>45657</v>
      </c>
      <c r="F628" s="33">
        <v>1170.5450800000001</v>
      </c>
      <c r="G628" s="34">
        <v>10</v>
      </c>
      <c r="H628" s="35">
        <f t="shared" si="149"/>
        <v>117.05450800000001</v>
      </c>
      <c r="I628" s="33">
        <v>11988.169</v>
      </c>
      <c r="J628" s="33">
        <v>21800.562999999998</v>
      </c>
      <c r="K628" s="33">
        <v>37205.892999999996</v>
      </c>
      <c r="L628" s="33">
        <v>75.221999999999994</v>
      </c>
      <c r="M628" s="33">
        <v>7630.9359999999997</v>
      </c>
      <c r="N628" s="35">
        <f t="shared" si="150"/>
        <v>3052.6889999999994</v>
      </c>
      <c r="O628" s="33">
        <v>4578.2470000000003</v>
      </c>
      <c r="P628" s="36">
        <f>50+150</f>
        <v>200</v>
      </c>
      <c r="Q628" s="36">
        <v>0</v>
      </c>
      <c r="R628" s="37">
        <f t="shared" ref="R628" si="155">SUM(P628:Q628)</f>
        <v>200</v>
      </c>
      <c r="S628" s="36"/>
      <c r="T628" s="38">
        <v>5124</v>
      </c>
    </row>
    <row r="629" spans="2:20" ht="15.6" x14ac:dyDescent="0.3">
      <c r="B629" s="30">
        <f t="shared" si="153"/>
        <v>8</v>
      </c>
      <c r="C629" s="30" t="s">
        <v>895</v>
      </c>
      <c r="D629" s="31" t="s">
        <v>896</v>
      </c>
      <c r="E629" s="32">
        <v>45657</v>
      </c>
      <c r="F629" s="33">
        <v>529.83362999999997</v>
      </c>
      <c r="G629" s="34">
        <v>10</v>
      </c>
      <c r="H629" s="35">
        <f t="shared" si="149"/>
        <v>52.983362999999997</v>
      </c>
      <c r="I629" s="33">
        <v>11221.165701</v>
      </c>
      <c r="J629" s="33">
        <v>16062.291695</v>
      </c>
      <c r="K629" s="33">
        <v>23195.152021999998</v>
      </c>
      <c r="L629" s="33">
        <v>393.89365700000002</v>
      </c>
      <c r="M629" s="33">
        <v>4819.5564700000004</v>
      </c>
      <c r="N629" s="35">
        <f t="shared" si="150"/>
        <v>1566.0557690000005</v>
      </c>
      <c r="O629" s="33">
        <v>3253.5007009999999</v>
      </c>
      <c r="P629" s="36">
        <v>400</v>
      </c>
      <c r="Q629" s="36">
        <v>0</v>
      </c>
      <c r="R629" s="37">
        <f t="shared" si="151"/>
        <v>400</v>
      </c>
      <c r="S629" s="36"/>
      <c r="T629" s="38">
        <v>4379</v>
      </c>
    </row>
    <row r="630" spans="2:20" ht="15.6" x14ac:dyDescent="0.3">
      <c r="B630" s="30">
        <f t="shared" si="153"/>
        <v>9</v>
      </c>
      <c r="C630" s="30" t="s">
        <v>897</v>
      </c>
      <c r="D630" s="31" t="s">
        <v>898</v>
      </c>
      <c r="E630" s="32">
        <v>45473</v>
      </c>
      <c r="F630" s="33">
        <v>856.74766999999997</v>
      </c>
      <c r="G630" s="34">
        <v>10</v>
      </c>
      <c r="H630" s="35">
        <f>+F630/G630</f>
        <v>85.674767000000003</v>
      </c>
      <c r="I630" s="33">
        <v>2114.6790000000001</v>
      </c>
      <c r="J630" s="33">
        <v>3326.7579999999998</v>
      </c>
      <c r="K630" s="33">
        <v>3603.3589999999999</v>
      </c>
      <c r="L630" s="33">
        <v>67.394000000000005</v>
      </c>
      <c r="M630" s="33">
        <v>28.922000000000001</v>
      </c>
      <c r="N630" s="35">
        <f>+M630-O630</f>
        <v>21.367000000000001</v>
      </c>
      <c r="O630" s="33">
        <v>7.5549999999999997</v>
      </c>
      <c r="P630" s="36">
        <v>0</v>
      </c>
      <c r="Q630" s="36">
        <v>0</v>
      </c>
      <c r="R630" s="37">
        <f>SUM(P630:Q630)</f>
        <v>0</v>
      </c>
      <c r="S630" s="36"/>
      <c r="T630" s="38">
        <v>5263</v>
      </c>
    </row>
    <row r="631" spans="2:20" ht="15.6" x14ac:dyDescent="0.3">
      <c r="B631" s="30">
        <f t="shared" si="153"/>
        <v>10</v>
      </c>
      <c r="C631" s="30" t="s">
        <v>899</v>
      </c>
      <c r="D631" s="31" t="s">
        <v>900</v>
      </c>
      <c r="E631" s="32">
        <v>45473</v>
      </c>
      <c r="F631" s="33">
        <v>458.11099999999999</v>
      </c>
      <c r="G631" s="34">
        <v>10</v>
      </c>
      <c r="H631" s="35">
        <f>+F631/G631</f>
        <v>45.811099999999996</v>
      </c>
      <c r="I631" s="33">
        <v>3197.1089999999999</v>
      </c>
      <c r="J631" s="33">
        <v>5413.1109999999999</v>
      </c>
      <c r="K631" s="33">
        <v>7535.3819999999996</v>
      </c>
      <c r="L631" s="33">
        <v>100.57299999999999</v>
      </c>
      <c r="M631" s="33">
        <v>612.09900000000005</v>
      </c>
      <c r="N631" s="35">
        <f>+M631-O631</f>
        <v>184.93600000000004</v>
      </c>
      <c r="O631" s="33">
        <v>427.16300000000001</v>
      </c>
      <c r="P631" s="36">
        <f>12.5+10</f>
        <v>22.5</v>
      </c>
      <c r="Q631" s="36">
        <v>0</v>
      </c>
      <c r="R631" s="37">
        <f>SUM(P631:Q631)</f>
        <v>22.5</v>
      </c>
      <c r="S631" s="36"/>
      <c r="T631" s="38">
        <v>1104</v>
      </c>
    </row>
    <row r="632" spans="2:20" ht="15.6" x14ac:dyDescent="0.3">
      <c r="B632" s="30">
        <f t="shared" si="153"/>
        <v>11</v>
      </c>
      <c r="C632" s="30" t="s">
        <v>901</v>
      </c>
      <c r="D632" s="31" t="s">
        <v>902</v>
      </c>
      <c r="E632" s="32">
        <v>45473</v>
      </c>
      <c r="F632" s="33">
        <v>121</v>
      </c>
      <c r="G632" s="34">
        <v>10</v>
      </c>
      <c r="H632" s="35">
        <f t="shared" si="149"/>
        <v>12.1</v>
      </c>
      <c r="I632" s="33">
        <v>675.69500000000005</v>
      </c>
      <c r="J632" s="33">
        <v>2293.8890000000001</v>
      </c>
      <c r="K632" s="33">
        <v>3163.8679999999999</v>
      </c>
      <c r="L632" s="33">
        <v>102.80800000000001</v>
      </c>
      <c r="M632" s="33">
        <v>18.321999999999999</v>
      </c>
      <c r="N632" s="35">
        <f t="shared" si="150"/>
        <v>23.085000000000001</v>
      </c>
      <c r="O632" s="33">
        <v>-4.7629999999999999</v>
      </c>
      <c r="P632" s="36">
        <v>0</v>
      </c>
      <c r="Q632" s="36">
        <v>0</v>
      </c>
      <c r="R632" s="37">
        <f t="shared" si="151"/>
        <v>0</v>
      </c>
      <c r="S632" s="36"/>
      <c r="T632" s="38">
        <v>1291</v>
      </c>
    </row>
    <row r="633" spans="2:20" ht="15.6" x14ac:dyDescent="0.3">
      <c r="B633" s="30">
        <f t="shared" si="153"/>
        <v>12</v>
      </c>
      <c r="C633" s="30" t="s">
        <v>903</v>
      </c>
      <c r="D633" s="31" t="s">
        <v>904</v>
      </c>
      <c r="E633" s="32">
        <v>45657</v>
      </c>
      <c r="F633" s="33">
        <v>96.447999999999993</v>
      </c>
      <c r="G633" s="34">
        <v>10</v>
      </c>
      <c r="H633" s="35">
        <f t="shared" si="149"/>
        <v>9.6448</v>
      </c>
      <c r="I633" s="33">
        <v>6814.9430000000002</v>
      </c>
      <c r="J633" s="33">
        <v>13556.735000000001</v>
      </c>
      <c r="K633" s="33">
        <v>26747.828000000001</v>
      </c>
      <c r="L633" s="33">
        <v>144.517</v>
      </c>
      <c r="M633" s="33">
        <v>3151.8539999999998</v>
      </c>
      <c r="N633" s="35">
        <f t="shared" si="150"/>
        <v>1294.7069999999999</v>
      </c>
      <c r="O633" s="33">
        <v>1857.1469999999999</v>
      </c>
      <c r="P633" s="36">
        <f>250+1100</f>
        <v>1350</v>
      </c>
      <c r="Q633" s="36">
        <v>0</v>
      </c>
      <c r="R633" s="37">
        <f t="shared" si="151"/>
        <v>1350</v>
      </c>
      <c r="S633" s="36"/>
      <c r="T633" s="38">
        <v>881</v>
      </c>
    </row>
    <row r="634" spans="2:20" ht="15.6" x14ac:dyDescent="0.3">
      <c r="B634" s="30">
        <f t="shared" si="153"/>
        <v>13</v>
      </c>
      <c r="C634" s="30" t="s">
        <v>905</v>
      </c>
      <c r="D634" s="31" t="s">
        <v>906</v>
      </c>
      <c r="E634" s="32">
        <v>45473</v>
      </c>
      <c r="F634" s="33">
        <v>5114.9449999999997</v>
      </c>
      <c r="G634" s="34">
        <v>10</v>
      </c>
      <c r="H634" s="35">
        <f t="shared" si="149"/>
        <v>511.49449999999996</v>
      </c>
      <c r="I634" s="33">
        <v>29094.929</v>
      </c>
      <c r="J634" s="33">
        <v>50471.881999999998</v>
      </c>
      <c r="K634" s="33">
        <v>25827.21</v>
      </c>
      <c r="L634" s="33">
        <v>3560.8829999999998</v>
      </c>
      <c r="M634" s="33">
        <v>-4516.2529999999997</v>
      </c>
      <c r="N634" s="35">
        <f t="shared" si="150"/>
        <v>-1185.3939999999998</v>
      </c>
      <c r="O634" s="33">
        <v>-3330.8589999999999</v>
      </c>
      <c r="P634" s="36">
        <v>0</v>
      </c>
      <c r="Q634" s="36">
        <v>0</v>
      </c>
      <c r="R634" s="37">
        <f t="shared" si="151"/>
        <v>0</v>
      </c>
      <c r="S634" s="36"/>
      <c r="T634" s="38">
        <v>18334</v>
      </c>
    </row>
    <row r="635" spans="2:20" ht="15.6" x14ac:dyDescent="0.3">
      <c r="B635" s="25"/>
      <c r="C635" s="25"/>
      <c r="D635" s="25"/>
      <c r="E635" s="25"/>
      <c r="F635" s="25"/>
      <c r="G635" s="40"/>
      <c r="H635" s="41"/>
      <c r="I635" s="27"/>
      <c r="J635" s="27"/>
      <c r="K635" s="27"/>
      <c r="L635" s="27"/>
      <c r="M635" s="27"/>
      <c r="N635" s="42"/>
      <c r="O635" s="27"/>
      <c r="P635" s="27"/>
      <c r="Q635" s="27"/>
      <c r="R635" s="42"/>
      <c r="S635" s="27"/>
      <c r="T635" s="27"/>
    </row>
    <row r="636" spans="2:20" ht="15.6" x14ac:dyDescent="0.3">
      <c r="B636" s="44">
        <f>COUNT(B622:B635)</f>
        <v>13</v>
      </c>
      <c r="C636" s="44"/>
      <c r="D636" s="45"/>
      <c r="E636" s="45"/>
      <c r="F636" s="45">
        <f>SUM(F622:F635)</f>
        <v>18220.607920000002</v>
      </c>
      <c r="G636" s="46"/>
      <c r="H636" s="47">
        <f t="shared" ref="H636:O636" si="156">SUM(H622:H635)</f>
        <v>1822.0607919999998</v>
      </c>
      <c r="I636" s="45">
        <f t="shared" si="156"/>
        <v>146305.140197</v>
      </c>
      <c r="J636" s="45">
        <f t="shared" si="156"/>
        <v>246426.65913599997</v>
      </c>
      <c r="K636" s="45">
        <f t="shared" si="156"/>
        <v>303966.87134700001</v>
      </c>
      <c r="L636" s="45">
        <f t="shared" si="156"/>
        <v>6603.4317090000004</v>
      </c>
      <c r="M636" s="45">
        <f t="shared" si="156"/>
        <v>36826.487938000006</v>
      </c>
      <c r="N636" s="48">
        <f t="shared" si="156"/>
        <v>14565.704925999999</v>
      </c>
      <c r="O636" s="45">
        <f t="shared" si="156"/>
        <v>22260.783012</v>
      </c>
      <c r="P636" s="49"/>
      <c r="Q636" s="49"/>
      <c r="R636" s="50"/>
      <c r="S636" s="49"/>
      <c r="T636" s="51">
        <f>SUM(T622:T635)</f>
        <v>63351</v>
      </c>
    </row>
    <row r="637" spans="2:20" ht="15.6" x14ac:dyDescent="0.3">
      <c r="B637" s="25"/>
      <c r="C637" s="25"/>
      <c r="D637" s="25"/>
      <c r="E637" s="25"/>
      <c r="F637" s="25"/>
      <c r="G637" s="40"/>
      <c r="H637" s="41"/>
      <c r="I637" s="27"/>
      <c r="J637" s="27"/>
      <c r="K637" s="27"/>
      <c r="L637" s="27"/>
      <c r="M637" s="27"/>
      <c r="N637" s="42"/>
      <c r="O637" s="27"/>
      <c r="P637" s="27"/>
      <c r="Q637" s="27"/>
      <c r="R637" s="42"/>
      <c r="S637" s="27"/>
      <c r="T637" s="27"/>
    </row>
    <row r="638" spans="2:20" ht="15.6" x14ac:dyDescent="0.3">
      <c r="B638" s="25"/>
      <c r="C638" s="25"/>
      <c r="D638" s="25"/>
      <c r="E638" s="25"/>
      <c r="F638" s="25"/>
      <c r="G638" s="40"/>
      <c r="H638" s="41"/>
      <c r="I638" s="27"/>
      <c r="J638" s="27"/>
      <c r="K638" s="27"/>
      <c r="L638" s="27"/>
      <c r="M638" s="27"/>
      <c r="N638" s="42"/>
      <c r="O638" s="27"/>
      <c r="P638" s="27"/>
      <c r="Q638" s="27"/>
      <c r="R638" s="42"/>
      <c r="S638" s="27"/>
      <c r="T638" s="27"/>
    </row>
    <row r="639" spans="2:20" ht="18" x14ac:dyDescent="0.35">
      <c r="B639" s="25"/>
      <c r="C639" s="29">
        <v>30</v>
      </c>
      <c r="D639" s="29" t="s">
        <v>907</v>
      </c>
      <c r="E639" s="55"/>
      <c r="F639" s="55"/>
      <c r="G639" s="40"/>
      <c r="H639" s="41"/>
      <c r="I639" s="27"/>
      <c r="J639" s="27"/>
      <c r="K639" s="27"/>
      <c r="L639" s="27"/>
      <c r="M639" s="27"/>
      <c r="N639" s="42"/>
      <c r="O639" s="27"/>
      <c r="P639" s="27"/>
      <c r="Q639" s="27"/>
      <c r="R639" s="42"/>
      <c r="S639" s="27"/>
      <c r="T639" s="27"/>
    </row>
    <row r="640" spans="2:20" ht="15.6" x14ac:dyDescent="0.3">
      <c r="B640" s="25"/>
      <c r="C640" s="25"/>
      <c r="D640" s="25"/>
      <c r="E640" s="25"/>
      <c r="F640" s="25"/>
      <c r="G640" s="40"/>
      <c r="H640" s="41"/>
      <c r="I640" s="27"/>
      <c r="J640" s="27"/>
      <c r="K640" s="27"/>
      <c r="L640" s="27"/>
      <c r="M640" s="27"/>
      <c r="N640" s="42"/>
      <c r="O640" s="27"/>
      <c r="P640" s="27"/>
      <c r="Q640" s="27"/>
      <c r="R640" s="42"/>
      <c r="S640" s="27"/>
      <c r="T640" s="27"/>
    </row>
    <row r="641" spans="2:20" ht="15.6" x14ac:dyDescent="0.3">
      <c r="B641" s="54">
        <v>1</v>
      </c>
      <c r="C641" s="54" t="s">
        <v>908</v>
      </c>
      <c r="D641" s="31" t="s">
        <v>909</v>
      </c>
      <c r="E641" s="32">
        <v>45657</v>
      </c>
      <c r="F641" s="33">
        <v>4246.4511899999998</v>
      </c>
      <c r="G641" s="34">
        <v>10</v>
      </c>
      <c r="H641" s="35">
        <f t="shared" ref="H641:H662" si="157">+F641/G641</f>
        <v>424.64511899999997</v>
      </c>
      <c r="I641" s="33">
        <v>9732.1396999999997</v>
      </c>
      <c r="J641" s="33">
        <v>85008.015759000002</v>
      </c>
      <c r="K641" s="33">
        <v>31306.773227000001</v>
      </c>
      <c r="L641" s="33">
        <v>7014.4205579999998</v>
      </c>
      <c r="M641" s="33">
        <v>-1695.701454</v>
      </c>
      <c r="N641" s="35">
        <f t="shared" ref="N641:N662" si="158">+M641-O641</f>
        <v>-581.52084800000011</v>
      </c>
      <c r="O641" s="33">
        <v>-1114.1806059999999</v>
      </c>
      <c r="P641" s="36">
        <v>0</v>
      </c>
      <c r="Q641" s="36">
        <v>0</v>
      </c>
      <c r="R641" s="37">
        <f t="shared" ref="R641:R662" si="159">SUM(P641:Q641)</f>
        <v>0</v>
      </c>
      <c r="S641" s="36"/>
      <c r="T641" s="38">
        <v>1761</v>
      </c>
    </row>
    <row r="642" spans="2:20" ht="15.6" x14ac:dyDescent="0.3">
      <c r="B642" s="54">
        <f>+B641+1</f>
        <v>2</v>
      </c>
      <c r="C642" s="54" t="s">
        <v>910</v>
      </c>
      <c r="D642" s="31" t="s">
        <v>911</v>
      </c>
      <c r="E642" s="32">
        <v>45565</v>
      </c>
      <c r="F642" s="33">
        <v>346.63400000000001</v>
      </c>
      <c r="G642" s="34">
        <v>10</v>
      </c>
      <c r="H642" s="35">
        <f t="shared" si="157"/>
        <v>34.663400000000003</v>
      </c>
      <c r="I642" s="33">
        <v>3777.5680000000002</v>
      </c>
      <c r="J642" s="33">
        <v>14303.23</v>
      </c>
      <c r="K642" s="33">
        <v>24773.123</v>
      </c>
      <c r="L642" s="33">
        <v>1224.306</v>
      </c>
      <c r="M642" s="33">
        <v>-811.44799999999998</v>
      </c>
      <c r="N642" s="35">
        <f t="shared" si="158"/>
        <v>-264.99599999999998</v>
      </c>
      <c r="O642" s="33">
        <v>-546.452</v>
      </c>
      <c r="P642" s="36">
        <v>0</v>
      </c>
      <c r="Q642" s="36">
        <v>0</v>
      </c>
      <c r="R642" s="37">
        <f t="shared" si="159"/>
        <v>0</v>
      </c>
      <c r="S642" s="36"/>
      <c r="T642" s="38">
        <v>1943</v>
      </c>
    </row>
    <row r="643" spans="2:20" ht="15.6" x14ac:dyDescent="0.3">
      <c r="B643" s="54">
        <f t="shared" ref="B643:B662" si="160">+B642+1</f>
        <v>3</v>
      </c>
      <c r="C643" s="30" t="s">
        <v>912</v>
      </c>
      <c r="D643" s="31" t="s">
        <v>913</v>
      </c>
      <c r="E643" s="32">
        <v>45473</v>
      </c>
      <c r="F643" s="33">
        <v>245.51599999999999</v>
      </c>
      <c r="G643" s="34">
        <v>10</v>
      </c>
      <c r="H643" s="35">
        <f t="shared" si="157"/>
        <v>24.551600000000001</v>
      </c>
      <c r="I643" s="33">
        <v>3447.4650000000001</v>
      </c>
      <c r="J643" s="33">
        <v>7149.8909999999996</v>
      </c>
      <c r="K643" s="33">
        <v>8543.9069999999992</v>
      </c>
      <c r="L643" s="33">
        <v>304.596</v>
      </c>
      <c r="M643" s="33">
        <v>427.56700000000001</v>
      </c>
      <c r="N643" s="35">
        <f t="shared" si="158"/>
        <v>164.70400000000001</v>
      </c>
      <c r="O643" s="33">
        <v>262.863</v>
      </c>
      <c r="P643" s="36">
        <v>40</v>
      </c>
      <c r="Q643" s="36">
        <v>0</v>
      </c>
      <c r="R643" s="37">
        <f t="shared" si="159"/>
        <v>40</v>
      </c>
      <c r="S643" s="36"/>
      <c r="T643" s="38">
        <v>1857</v>
      </c>
    </row>
    <row r="644" spans="2:20" ht="15.6" x14ac:dyDescent="0.3">
      <c r="B644" s="54">
        <f t="shared" si="160"/>
        <v>4</v>
      </c>
      <c r="C644" s="54" t="s">
        <v>914</v>
      </c>
      <c r="D644" s="31" t="s">
        <v>915</v>
      </c>
      <c r="E644" s="32">
        <v>45473</v>
      </c>
      <c r="F644" s="33">
        <v>463.82688000000002</v>
      </c>
      <c r="G644" s="34">
        <v>10</v>
      </c>
      <c r="H644" s="35">
        <f t="shared" si="157"/>
        <v>46.382688000000002</v>
      </c>
      <c r="I644" s="33">
        <v>2936.1132710000002</v>
      </c>
      <c r="J644" s="33">
        <f>2248.593668+1352.677162</f>
        <v>3601.2708299999999</v>
      </c>
      <c r="K644" s="33">
        <v>2405.0815950000001</v>
      </c>
      <c r="L644" s="33">
        <v>109.359582</v>
      </c>
      <c r="M644" s="33">
        <v>330.10207200000002</v>
      </c>
      <c r="N644" s="35">
        <f t="shared" si="158"/>
        <v>35.074607000000015</v>
      </c>
      <c r="O644" s="33">
        <v>295.02746500000001</v>
      </c>
      <c r="P644" s="36">
        <f>23+23</f>
        <v>46</v>
      </c>
      <c r="Q644" s="36">
        <v>0</v>
      </c>
      <c r="R644" s="37">
        <f t="shared" si="159"/>
        <v>46</v>
      </c>
      <c r="S644" s="36"/>
      <c r="T644" s="38">
        <v>1704</v>
      </c>
    </row>
    <row r="645" spans="2:20" ht="15.6" x14ac:dyDescent="0.3">
      <c r="B645" s="54">
        <f t="shared" si="160"/>
        <v>5</v>
      </c>
      <c r="C645" s="30" t="s">
        <v>916</v>
      </c>
      <c r="D645" s="31" t="s">
        <v>917</v>
      </c>
      <c r="E645" s="32">
        <v>45473</v>
      </c>
      <c r="F645" s="33">
        <v>14.4</v>
      </c>
      <c r="G645" s="34">
        <v>10</v>
      </c>
      <c r="H645" s="35">
        <f t="shared" si="157"/>
        <v>1.44</v>
      </c>
      <c r="I645" s="33">
        <v>187.38499999999999</v>
      </c>
      <c r="J645" s="33">
        <v>556.88499999999999</v>
      </c>
      <c r="K645" s="33">
        <v>622.98500000000001</v>
      </c>
      <c r="L645" s="33">
        <v>10.792999999999999</v>
      </c>
      <c r="M645" s="33">
        <v>12.23</v>
      </c>
      <c r="N645" s="35">
        <f t="shared" si="158"/>
        <v>5.2270000000000003</v>
      </c>
      <c r="O645" s="33">
        <v>7.0030000000000001</v>
      </c>
      <c r="P645" s="36">
        <v>0</v>
      </c>
      <c r="Q645" s="36">
        <v>0</v>
      </c>
      <c r="R645" s="37">
        <f t="shared" si="159"/>
        <v>0</v>
      </c>
      <c r="S645" s="36"/>
      <c r="T645" s="38"/>
    </row>
    <row r="646" spans="2:20" ht="15.6" x14ac:dyDescent="0.3">
      <c r="B646" s="54">
        <f t="shared" si="160"/>
        <v>6</v>
      </c>
      <c r="C646" s="30" t="s">
        <v>918</v>
      </c>
      <c r="D646" s="31" t="s">
        <v>919</v>
      </c>
      <c r="E646" s="32">
        <v>45473</v>
      </c>
      <c r="F646" s="33">
        <v>40</v>
      </c>
      <c r="G646" s="34">
        <v>10</v>
      </c>
      <c r="H646" s="35">
        <f t="shared" si="157"/>
        <v>4</v>
      </c>
      <c r="I646" s="33">
        <v>222.05341799999999</v>
      </c>
      <c r="J646" s="33">
        <v>512.08509900000001</v>
      </c>
      <c r="K646" s="33">
        <v>362.31151799999998</v>
      </c>
      <c r="L646" s="33">
        <v>47.464492999999997</v>
      </c>
      <c r="M646" s="33">
        <v>5.7092830000000001</v>
      </c>
      <c r="N646" s="35">
        <f t="shared" si="158"/>
        <v>-1.7783230000000003</v>
      </c>
      <c r="O646" s="33">
        <v>7.4876060000000004</v>
      </c>
      <c r="P646" s="36">
        <v>0</v>
      </c>
      <c r="Q646" s="36">
        <v>0</v>
      </c>
      <c r="R646" s="37">
        <f t="shared" si="159"/>
        <v>0</v>
      </c>
      <c r="S646" s="36"/>
      <c r="T646" s="38">
        <v>2200</v>
      </c>
    </row>
    <row r="647" spans="2:20" ht="15.6" x14ac:dyDescent="0.3">
      <c r="B647" s="54">
        <f t="shared" si="160"/>
        <v>7</v>
      </c>
      <c r="C647" s="54" t="s">
        <v>920</v>
      </c>
      <c r="D647" s="31" t="s">
        <v>921</v>
      </c>
      <c r="E647" s="32">
        <v>45473</v>
      </c>
      <c r="F647" s="33">
        <v>1750.3108400000001</v>
      </c>
      <c r="G647" s="34">
        <v>10</v>
      </c>
      <c r="H647" s="35">
        <f t="shared" si="157"/>
        <v>175.03108400000002</v>
      </c>
      <c r="I647" s="33">
        <v>3180.46</v>
      </c>
      <c r="J647" s="33">
        <v>4108.9650000000001</v>
      </c>
      <c r="K647" s="33">
        <v>5694.0889999999999</v>
      </c>
      <c r="L647" s="33">
        <v>23.806999999999999</v>
      </c>
      <c r="M647" s="33">
        <v>787.35500000000002</v>
      </c>
      <c r="N647" s="35">
        <f t="shared" si="158"/>
        <v>316.31600000000003</v>
      </c>
      <c r="O647" s="33">
        <v>471.03899999999999</v>
      </c>
      <c r="P647" s="36">
        <v>20</v>
      </c>
      <c r="Q647" s="36">
        <v>0</v>
      </c>
      <c r="R647" s="37">
        <f t="shared" si="159"/>
        <v>20</v>
      </c>
      <c r="S647" s="36"/>
      <c r="T647" s="38"/>
    </row>
    <row r="648" spans="2:20" ht="15.6" x14ac:dyDescent="0.3">
      <c r="B648" s="54">
        <f t="shared" si="160"/>
        <v>8</v>
      </c>
      <c r="C648" s="54" t="s">
        <v>922</v>
      </c>
      <c r="D648" s="31" t="s">
        <v>923</v>
      </c>
      <c r="E648" s="32">
        <v>45473</v>
      </c>
      <c r="F648" s="33">
        <v>94.362065000000001</v>
      </c>
      <c r="G648" s="34">
        <v>5</v>
      </c>
      <c r="H648" s="35">
        <f t="shared" si="157"/>
        <v>18.872413000000002</v>
      </c>
      <c r="I648" s="33">
        <v>4293.9652269999997</v>
      </c>
      <c r="J648" s="33">
        <v>5553.0360490000003</v>
      </c>
      <c r="K648" s="33">
        <v>12759.895624000001</v>
      </c>
      <c r="L648" s="33">
        <v>34.093479000000002</v>
      </c>
      <c r="M648" s="33">
        <v>1897.7618729999999</v>
      </c>
      <c r="N648" s="35">
        <f t="shared" si="158"/>
        <v>706.25287200000002</v>
      </c>
      <c r="O648" s="33">
        <v>1191.5090009999999</v>
      </c>
      <c r="P648" s="36">
        <f>150+200</f>
        <v>350</v>
      </c>
      <c r="Q648" s="36">
        <v>0</v>
      </c>
      <c r="R648" s="37">
        <f t="shared" si="159"/>
        <v>350</v>
      </c>
      <c r="S648" s="36"/>
      <c r="T648" s="38">
        <v>1523</v>
      </c>
    </row>
    <row r="649" spans="2:20" ht="15.6" x14ac:dyDescent="0.3">
      <c r="B649" s="54">
        <f t="shared" si="160"/>
        <v>9</v>
      </c>
      <c r="C649" s="54" t="s">
        <v>924</v>
      </c>
      <c r="D649" s="31" t="s">
        <v>925</v>
      </c>
      <c r="E649" s="32">
        <v>45657</v>
      </c>
      <c r="F649" s="33">
        <v>9089.2333299999991</v>
      </c>
      <c r="G649" s="34">
        <v>10</v>
      </c>
      <c r="H649" s="35">
        <f t="shared" si="157"/>
        <v>908.92333299999996</v>
      </c>
      <c r="I649" s="33">
        <v>28402.825000000001</v>
      </c>
      <c r="J649" s="33">
        <v>99071.256999999998</v>
      </c>
      <c r="K649" s="33">
        <v>75677.747000000003</v>
      </c>
      <c r="L649" s="33">
        <v>7522.72</v>
      </c>
      <c r="M649" s="33">
        <v>-2324.3870000000002</v>
      </c>
      <c r="N649" s="35">
        <f t="shared" si="158"/>
        <v>-2934.7270000000003</v>
      </c>
      <c r="O649" s="33">
        <v>610.34</v>
      </c>
      <c r="P649" s="36">
        <v>0</v>
      </c>
      <c r="Q649" s="36">
        <v>0</v>
      </c>
      <c r="R649" s="37">
        <f t="shared" si="159"/>
        <v>0</v>
      </c>
      <c r="S649" s="36"/>
      <c r="T649" s="38">
        <v>34310</v>
      </c>
    </row>
    <row r="650" spans="2:20" ht="15.6" x14ac:dyDescent="0.3">
      <c r="B650" s="54"/>
      <c r="C650" s="54" t="s">
        <v>926</v>
      </c>
      <c r="D650" s="31" t="s">
        <v>927</v>
      </c>
      <c r="E650" s="32">
        <v>45657</v>
      </c>
      <c r="F650" s="33"/>
      <c r="G650" s="34">
        <v>10</v>
      </c>
      <c r="H650" s="35">
        <f t="shared" si="157"/>
        <v>0</v>
      </c>
      <c r="I650" s="33"/>
      <c r="J650" s="33"/>
      <c r="K650" s="33"/>
      <c r="L650" s="33"/>
      <c r="M650" s="33"/>
      <c r="N650" s="35">
        <f t="shared" si="158"/>
        <v>0</v>
      </c>
      <c r="O650" s="33"/>
      <c r="P650" s="36"/>
      <c r="Q650" s="36"/>
      <c r="R650" s="37">
        <f t="shared" si="159"/>
        <v>0</v>
      </c>
      <c r="S650" s="36"/>
      <c r="T650" s="38"/>
    </row>
    <row r="651" spans="2:20" ht="15.6" x14ac:dyDescent="0.3">
      <c r="B651" s="54">
        <f>+B649+1</f>
        <v>10</v>
      </c>
      <c r="C651" s="54" t="s">
        <v>928</v>
      </c>
      <c r="D651" s="31" t="s">
        <v>929</v>
      </c>
      <c r="E651" s="32">
        <v>45473</v>
      </c>
      <c r="F651" s="33">
        <v>5001.8789999999999</v>
      </c>
      <c r="G651" s="34">
        <v>10</v>
      </c>
      <c r="H651" s="35">
        <f t="shared" si="157"/>
        <v>500.18790000000001</v>
      </c>
      <c r="I651" s="33">
        <v>9853.5740000000005</v>
      </c>
      <c r="J651" s="33">
        <v>16880.636999999999</v>
      </c>
      <c r="K651" s="33">
        <v>5437.3869999999997</v>
      </c>
      <c r="L651" s="33">
        <v>389.36700000000002</v>
      </c>
      <c r="M651" s="33">
        <v>1073.694</v>
      </c>
      <c r="N651" s="35">
        <f t="shared" si="158"/>
        <v>287.88699999999994</v>
      </c>
      <c r="O651" s="33">
        <v>785.80700000000002</v>
      </c>
      <c r="P651" s="36">
        <v>0</v>
      </c>
      <c r="Q651" s="36">
        <v>0</v>
      </c>
      <c r="R651" s="37">
        <f t="shared" ref="R651" si="161">SUM(P651:Q651)</f>
        <v>0</v>
      </c>
      <c r="S651" s="36"/>
      <c r="T651" s="38">
        <v>6623</v>
      </c>
    </row>
    <row r="652" spans="2:20" ht="15.6" x14ac:dyDescent="0.3">
      <c r="B652" s="54">
        <f>+B651+1</f>
        <v>11</v>
      </c>
      <c r="C652" s="54" t="s">
        <v>930</v>
      </c>
      <c r="D652" s="31" t="s">
        <v>931</v>
      </c>
      <c r="E652" s="32">
        <v>45473</v>
      </c>
      <c r="F652" s="33">
        <v>3541.1970000000001</v>
      </c>
      <c r="G652" s="34">
        <v>10</v>
      </c>
      <c r="H652" s="35">
        <f t="shared" si="157"/>
        <v>354.11970000000002</v>
      </c>
      <c r="I652" s="33">
        <v>3811.35</v>
      </c>
      <c r="J652" s="33">
        <v>3938.1080000000002</v>
      </c>
      <c r="K652" s="33">
        <v>170.80199999999999</v>
      </c>
      <c r="L652" s="33">
        <v>10.231</v>
      </c>
      <c r="M652" s="33">
        <v>25.094000000000001</v>
      </c>
      <c r="N652" s="35">
        <f t="shared" si="158"/>
        <v>0.76800000000000068</v>
      </c>
      <c r="O652" s="33">
        <v>24.326000000000001</v>
      </c>
      <c r="P652" s="36">
        <v>0</v>
      </c>
      <c r="Q652" s="36">
        <v>0</v>
      </c>
      <c r="R652" s="37">
        <f t="shared" si="159"/>
        <v>0</v>
      </c>
      <c r="S652" s="36"/>
      <c r="T652" s="38">
        <v>8854</v>
      </c>
    </row>
    <row r="653" spans="2:20" ht="15.6" x14ac:dyDescent="0.3">
      <c r="B653" s="54">
        <f>+B652+1</f>
        <v>12</v>
      </c>
      <c r="C653" s="54" t="s">
        <v>932</v>
      </c>
      <c r="D653" s="31" t="s">
        <v>933</v>
      </c>
      <c r="E653" s="32">
        <v>45473</v>
      </c>
      <c r="F653" s="33">
        <v>923.59050000000002</v>
      </c>
      <c r="G653" s="34">
        <v>10</v>
      </c>
      <c r="H653" s="35">
        <f t="shared" si="157"/>
        <v>92.359049999999996</v>
      </c>
      <c r="I653" s="33">
        <v>43576.006000000001</v>
      </c>
      <c r="J653" s="33">
        <v>83565.733999999997</v>
      </c>
      <c r="K653" s="33">
        <v>120460.326</v>
      </c>
      <c r="L653" s="33">
        <v>3537.0309999999999</v>
      </c>
      <c r="M653" s="33">
        <v>15660.23</v>
      </c>
      <c r="N653" s="35">
        <f t="shared" si="158"/>
        <v>4520.012999999999</v>
      </c>
      <c r="O653" s="33">
        <v>11140.217000000001</v>
      </c>
      <c r="P653" s="36">
        <f>270+330</f>
        <v>600</v>
      </c>
      <c r="Q653" s="36">
        <v>0</v>
      </c>
      <c r="R653" s="37">
        <f t="shared" si="159"/>
        <v>600</v>
      </c>
      <c r="S653" s="36"/>
      <c r="T653" s="38">
        <v>9231</v>
      </c>
    </row>
    <row r="654" spans="2:20" ht="15.6" x14ac:dyDescent="0.3">
      <c r="B654" s="83">
        <f t="shared" ref="B654" si="162">+B653+1</f>
        <v>13</v>
      </c>
      <c r="C654" s="54" t="s">
        <v>934</v>
      </c>
      <c r="D654" s="31" t="s">
        <v>935</v>
      </c>
      <c r="E654" s="32">
        <v>45473</v>
      </c>
      <c r="F654" s="33">
        <v>999.99999000000003</v>
      </c>
      <c r="G654" s="34">
        <v>10</v>
      </c>
      <c r="H654" s="35">
        <f t="shared" si="157"/>
        <v>99.999999000000003</v>
      </c>
      <c r="I654" s="33">
        <v>9287.598</v>
      </c>
      <c r="J654" s="33">
        <v>17266.634999999998</v>
      </c>
      <c r="K654" s="33">
        <v>24314.588</v>
      </c>
      <c r="L654" s="33">
        <v>730.84</v>
      </c>
      <c r="M654" s="33">
        <v>2353.326</v>
      </c>
      <c r="N654" s="35">
        <f t="shared" si="158"/>
        <v>967.57400000000007</v>
      </c>
      <c r="O654" s="33">
        <v>1385.752</v>
      </c>
      <c r="P654" s="36">
        <f>10+10+15</f>
        <v>35</v>
      </c>
      <c r="Q654" s="36">
        <v>0</v>
      </c>
      <c r="R654" s="37">
        <f t="shared" si="159"/>
        <v>35</v>
      </c>
      <c r="S654" s="36"/>
      <c r="T654" s="38">
        <v>1090</v>
      </c>
    </row>
    <row r="655" spans="2:20" ht="15.6" x14ac:dyDescent="0.3">
      <c r="B655" s="54">
        <f t="shared" si="160"/>
        <v>14</v>
      </c>
      <c r="C655" s="54" t="s">
        <v>936</v>
      </c>
      <c r="D655" s="31" t="s">
        <v>937</v>
      </c>
      <c r="E655" s="32">
        <v>45657</v>
      </c>
      <c r="F655" s="33">
        <v>15142.072</v>
      </c>
      <c r="G655" s="34">
        <v>10</v>
      </c>
      <c r="H655" s="35">
        <f t="shared" si="157"/>
        <v>1514.2072000000001</v>
      </c>
      <c r="I655" s="33">
        <v>22413.615000000002</v>
      </c>
      <c r="J655" s="33">
        <v>42040.942000000003</v>
      </c>
      <c r="K655" s="33">
        <v>109299.177</v>
      </c>
      <c r="L655" s="33">
        <v>730.822</v>
      </c>
      <c r="M655" s="33">
        <v>4322.9740000000002</v>
      </c>
      <c r="N655" s="35">
        <f t="shared" si="158"/>
        <v>1680.5010000000002</v>
      </c>
      <c r="O655" s="33">
        <v>2642.473</v>
      </c>
      <c r="P655" s="36">
        <f>5</f>
        <v>5</v>
      </c>
      <c r="Q655" s="36">
        <v>0</v>
      </c>
      <c r="R655" s="37">
        <f t="shared" si="159"/>
        <v>5</v>
      </c>
      <c r="S655" s="36"/>
      <c r="T655" s="38">
        <v>18548</v>
      </c>
    </row>
    <row r="656" spans="2:20" ht="15.6" x14ac:dyDescent="0.3">
      <c r="B656" s="54">
        <f t="shared" si="160"/>
        <v>15</v>
      </c>
      <c r="C656" s="54" t="s">
        <v>938</v>
      </c>
      <c r="D656" s="31" t="s">
        <v>939</v>
      </c>
      <c r="E656" s="32">
        <v>45473</v>
      </c>
      <c r="F656" s="33">
        <v>75</v>
      </c>
      <c r="G656" s="34">
        <v>10</v>
      </c>
      <c r="H656" s="35">
        <f t="shared" si="157"/>
        <v>7.5</v>
      </c>
      <c r="I656" s="33">
        <v>881.35400000000004</v>
      </c>
      <c r="J656" s="33">
        <v>1872.143</v>
      </c>
      <c r="K656" s="33">
        <v>3344.5340000000001</v>
      </c>
      <c r="L656" s="33">
        <v>90.796000000000006</v>
      </c>
      <c r="M656" s="33">
        <v>102.01900000000001</v>
      </c>
      <c r="N656" s="35">
        <f t="shared" si="158"/>
        <v>20.5</v>
      </c>
      <c r="O656" s="33">
        <v>81.519000000000005</v>
      </c>
      <c r="P656" s="36">
        <v>0</v>
      </c>
      <c r="Q656" s="36">
        <v>0</v>
      </c>
      <c r="R656" s="37">
        <f t="shared" si="159"/>
        <v>0</v>
      </c>
      <c r="S656" s="36"/>
      <c r="T656" s="38">
        <v>669</v>
      </c>
    </row>
    <row r="657" spans="2:20" ht="15.6" x14ac:dyDescent="0.3">
      <c r="B657" s="54">
        <f t="shared" si="160"/>
        <v>16</v>
      </c>
      <c r="C657" s="54" t="s">
        <v>940</v>
      </c>
      <c r="D657" s="31" t="s">
        <v>941</v>
      </c>
      <c r="E657" s="32">
        <v>45473</v>
      </c>
      <c r="F657" s="33">
        <v>1105.9054599999999</v>
      </c>
      <c r="G657" s="34">
        <v>10</v>
      </c>
      <c r="H657" s="35">
        <f t="shared" si="157"/>
        <v>110.59054599999999</v>
      </c>
      <c r="I657" s="33">
        <v>8356.9996749999991</v>
      </c>
      <c r="J657" s="33">
        <v>31286.504216000001</v>
      </c>
      <c r="K657" s="33">
        <v>41925.356873999997</v>
      </c>
      <c r="L657" s="33">
        <v>3795.8510019999999</v>
      </c>
      <c r="M657" s="33">
        <v>1184.6186</v>
      </c>
      <c r="N657" s="35">
        <f t="shared" si="158"/>
        <v>181.74404100000004</v>
      </c>
      <c r="O657" s="33">
        <v>1002.874559</v>
      </c>
      <c r="P657" s="36">
        <f>10+15</f>
        <v>25</v>
      </c>
      <c r="Q657" s="36">
        <v>0</v>
      </c>
      <c r="R657" s="37">
        <f t="shared" si="159"/>
        <v>25</v>
      </c>
      <c r="S657" s="36"/>
      <c r="T657" s="38">
        <v>1826</v>
      </c>
    </row>
    <row r="658" spans="2:20" ht="15.6" x14ac:dyDescent="0.3">
      <c r="B658" s="54">
        <f t="shared" si="160"/>
        <v>17</v>
      </c>
      <c r="C658" s="54" t="s">
        <v>942</v>
      </c>
      <c r="D658" s="31" t="s">
        <v>943</v>
      </c>
      <c r="E658" s="32">
        <v>45473</v>
      </c>
      <c r="F658" s="33">
        <v>1413.21064</v>
      </c>
      <c r="G658" s="34">
        <v>10</v>
      </c>
      <c r="H658" s="35">
        <f t="shared" si="157"/>
        <v>141.32106400000001</v>
      </c>
      <c r="I658" s="33">
        <v>3298.2190430000001</v>
      </c>
      <c r="J658" s="33">
        <v>6487.3112760000004</v>
      </c>
      <c r="K658" s="33">
        <v>8584.7441749999998</v>
      </c>
      <c r="L658" s="33">
        <v>444.95843300000001</v>
      </c>
      <c r="M658" s="33">
        <v>434.79291999999998</v>
      </c>
      <c r="N658" s="35">
        <f t="shared" si="158"/>
        <v>164.417304</v>
      </c>
      <c r="O658" s="33">
        <v>270.37561599999998</v>
      </c>
      <c r="P658" s="36">
        <v>10</v>
      </c>
      <c r="Q658" s="36">
        <v>0</v>
      </c>
      <c r="R658" s="37">
        <f t="shared" si="159"/>
        <v>10</v>
      </c>
      <c r="S658" s="36"/>
      <c r="T658" s="38">
        <v>4944</v>
      </c>
    </row>
    <row r="659" spans="2:20" ht="15.6" x14ac:dyDescent="0.3">
      <c r="B659" s="54">
        <f t="shared" si="160"/>
        <v>18</v>
      </c>
      <c r="C659" s="54" t="s">
        <v>944</v>
      </c>
      <c r="D659" s="31" t="s">
        <v>945</v>
      </c>
      <c r="E659" s="32">
        <v>45657</v>
      </c>
      <c r="F659" s="33">
        <v>871.24300000000005</v>
      </c>
      <c r="G659" s="34">
        <v>10</v>
      </c>
      <c r="H659" s="35">
        <f t="shared" si="157"/>
        <v>87.124300000000005</v>
      </c>
      <c r="I659" s="33">
        <v>9346.1859999999997</v>
      </c>
      <c r="J659" s="33">
        <v>19085.821</v>
      </c>
      <c r="K659" s="33">
        <v>11345.099</v>
      </c>
      <c r="L659" s="33">
        <v>999.09900000000005</v>
      </c>
      <c r="M659" s="33">
        <v>1144.5999999999999</v>
      </c>
      <c r="N659" s="35">
        <f t="shared" si="158"/>
        <v>432.84099999999989</v>
      </c>
      <c r="O659" s="33">
        <v>711.75900000000001</v>
      </c>
      <c r="P659" s="36">
        <v>0</v>
      </c>
      <c r="Q659" s="36">
        <v>0</v>
      </c>
      <c r="R659" s="37">
        <f t="shared" si="159"/>
        <v>0</v>
      </c>
      <c r="S659" s="36"/>
      <c r="T659" s="38">
        <v>1828</v>
      </c>
    </row>
    <row r="660" spans="2:20" ht="15.6" x14ac:dyDescent="0.3">
      <c r="B660" s="54">
        <f t="shared" si="160"/>
        <v>19</v>
      </c>
      <c r="C660" s="54" t="s">
        <v>946</v>
      </c>
      <c r="D660" s="31" t="s">
        <v>947</v>
      </c>
      <c r="E660" s="32">
        <v>45473</v>
      </c>
      <c r="F660" s="33">
        <v>60</v>
      </c>
      <c r="G660" s="34">
        <v>10</v>
      </c>
      <c r="H660" s="35">
        <f t="shared" si="157"/>
        <v>6</v>
      </c>
      <c r="I660" s="33">
        <v>304.16216500000002</v>
      </c>
      <c r="J660" s="33">
        <v>429.07277399999998</v>
      </c>
      <c r="K660" s="33">
        <v>503.869911</v>
      </c>
      <c r="L660" s="33">
        <v>11.387801</v>
      </c>
      <c r="M660" s="33">
        <v>76.977090000000004</v>
      </c>
      <c r="N660" s="35">
        <f t="shared" si="158"/>
        <v>24.647661000000006</v>
      </c>
      <c r="O660" s="33">
        <v>52.329428999999998</v>
      </c>
      <c r="P660" s="36">
        <v>20</v>
      </c>
      <c r="Q660" s="36">
        <v>0</v>
      </c>
      <c r="R660" s="37">
        <f t="shared" si="159"/>
        <v>20</v>
      </c>
      <c r="S660" s="36"/>
      <c r="T660" s="38">
        <v>1681</v>
      </c>
    </row>
    <row r="661" spans="2:20" ht="15.6" x14ac:dyDescent="0.3">
      <c r="B661" s="54">
        <f t="shared" si="160"/>
        <v>20</v>
      </c>
      <c r="C661" s="54" t="s">
        <v>948</v>
      </c>
      <c r="D661" s="31" t="s">
        <v>949</v>
      </c>
      <c r="E661" s="32">
        <v>45473</v>
      </c>
      <c r="F661" s="33">
        <v>214.29407</v>
      </c>
      <c r="G661" s="34">
        <v>10</v>
      </c>
      <c r="H661" s="35">
        <f t="shared" si="157"/>
        <v>21.429407000000001</v>
      </c>
      <c r="I661" s="33">
        <v>18064.086759000002</v>
      </c>
      <c r="J661" s="33">
        <v>40510.869525000002</v>
      </c>
      <c r="K661" s="33">
        <v>31111.879733000002</v>
      </c>
      <c r="L661" s="33">
        <v>2348.6978810000001</v>
      </c>
      <c r="M661" s="33">
        <v>1084.0740470000001</v>
      </c>
      <c r="N661" s="35">
        <f t="shared" si="158"/>
        <v>498.56640100000004</v>
      </c>
      <c r="O661" s="33">
        <v>585.50764600000002</v>
      </c>
      <c r="P661" s="36">
        <v>100</v>
      </c>
      <c r="Q661" s="36">
        <v>0</v>
      </c>
      <c r="R661" s="37">
        <f t="shared" si="159"/>
        <v>100</v>
      </c>
      <c r="S661" s="36"/>
      <c r="T661" s="38">
        <v>1716</v>
      </c>
    </row>
    <row r="662" spans="2:20" ht="15.6" x14ac:dyDescent="0.3">
      <c r="B662" s="54">
        <f t="shared" si="160"/>
        <v>21</v>
      </c>
      <c r="C662" s="54" t="s">
        <v>950</v>
      </c>
      <c r="D662" s="31" t="s">
        <v>951</v>
      </c>
      <c r="E662" s="32">
        <v>45473</v>
      </c>
      <c r="F662" s="33">
        <v>90</v>
      </c>
      <c r="G662" s="34">
        <v>10</v>
      </c>
      <c r="H662" s="35">
        <f t="shared" si="157"/>
        <v>9</v>
      </c>
      <c r="I662" s="33">
        <v>2258.3918090000002</v>
      </c>
      <c r="J662" s="33">
        <v>2982.6812460000001</v>
      </c>
      <c r="K662" s="33">
        <v>4684.7211580000003</v>
      </c>
      <c r="L662" s="33">
        <v>28.747239</v>
      </c>
      <c r="M662" s="33">
        <v>906.33067300000005</v>
      </c>
      <c r="N662" s="35">
        <f t="shared" si="158"/>
        <v>356.91672600000004</v>
      </c>
      <c r="O662" s="33">
        <v>549.41394700000001</v>
      </c>
      <c r="P662" s="36">
        <v>100</v>
      </c>
      <c r="Q662" s="36">
        <v>0</v>
      </c>
      <c r="R662" s="37">
        <f t="shared" si="159"/>
        <v>100</v>
      </c>
      <c r="S662" s="36"/>
      <c r="T662" s="38">
        <v>827</v>
      </c>
    </row>
    <row r="663" spans="2:20" ht="15.6" x14ac:dyDescent="0.3">
      <c r="B663" s="56"/>
      <c r="C663" s="56"/>
      <c r="D663" s="58"/>
      <c r="E663" s="59"/>
      <c r="F663" s="60"/>
      <c r="G663" s="40"/>
      <c r="H663" s="61"/>
      <c r="I663" s="60"/>
      <c r="J663" s="60"/>
      <c r="K663" s="60"/>
      <c r="L663" s="60"/>
      <c r="M663" s="60"/>
      <c r="N663" s="61"/>
      <c r="O663" s="60"/>
      <c r="P663" s="62"/>
      <c r="Q663" s="62"/>
      <c r="R663" s="63"/>
      <c r="S663" s="62"/>
      <c r="T663" s="64"/>
    </row>
    <row r="664" spans="2:20" ht="18" x14ac:dyDescent="0.35">
      <c r="B664" s="25"/>
      <c r="C664" s="25"/>
      <c r="D664" s="53" t="s">
        <v>1127</v>
      </c>
      <c r="E664" s="25"/>
      <c r="F664" s="25"/>
      <c r="G664" s="40"/>
      <c r="H664" s="41"/>
      <c r="I664" s="27"/>
      <c r="J664" s="27"/>
      <c r="K664" s="27"/>
      <c r="L664" s="27"/>
      <c r="M664" s="27"/>
      <c r="N664" s="42"/>
      <c r="O664" s="27"/>
      <c r="P664" s="27"/>
      <c r="Q664" s="27"/>
      <c r="R664" s="42"/>
      <c r="S664" s="27"/>
      <c r="T664" s="27"/>
    </row>
    <row r="665" spans="2:20" ht="15.6" x14ac:dyDescent="0.3">
      <c r="B665" s="54">
        <v>1</v>
      </c>
      <c r="C665" s="54" t="s">
        <v>952</v>
      </c>
      <c r="D665" s="31" t="s">
        <v>953</v>
      </c>
      <c r="E665" s="32">
        <v>45473</v>
      </c>
      <c r="F665" s="33">
        <v>75.025099999999995</v>
      </c>
      <c r="G665" s="34">
        <v>10</v>
      </c>
      <c r="H665" s="35">
        <f>+F665/G665</f>
        <v>7.5025099999999991</v>
      </c>
      <c r="I665" s="33">
        <v>24.794474999999998</v>
      </c>
      <c r="J665" s="33">
        <v>31.312439999999999</v>
      </c>
      <c r="K665" s="33">
        <v>0</v>
      </c>
      <c r="L665" s="33">
        <v>7.5529999999999998E-3</v>
      </c>
      <c r="M665" s="33">
        <v>-22.455172000000001</v>
      </c>
      <c r="N665" s="35">
        <f>+M665-O665</f>
        <v>0.16812200000000033</v>
      </c>
      <c r="O665" s="33">
        <v>-22.623294000000001</v>
      </c>
      <c r="P665" s="36">
        <v>0</v>
      </c>
      <c r="Q665" s="36">
        <v>0</v>
      </c>
      <c r="R665" s="37">
        <f>SUM(P665:Q665)</f>
        <v>0</v>
      </c>
      <c r="S665" s="36">
        <v>7997.32</v>
      </c>
      <c r="T665" s="38">
        <v>816</v>
      </c>
    </row>
    <row r="666" spans="2:20" ht="15.6" x14ac:dyDescent="0.3">
      <c r="B666" s="54">
        <f>+B665+1</f>
        <v>2</v>
      </c>
      <c r="C666" s="54" t="s">
        <v>954</v>
      </c>
      <c r="D666" s="31" t="s">
        <v>955</v>
      </c>
      <c r="E666" s="32">
        <v>45473</v>
      </c>
      <c r="F666" s="33">
        <v>149.58000000000001</v>
      </c>
      <c r="G666" s="34">
        <v>10</v>
      </c>
      <c r="H666" s="35">
        <f>+F666/G666</f>
        <v>14.958000000000002</v>
      </c>
      <c r="I666" s="33">
        <v>-25.379128999999999</v>
      </c>
      <c r="J666" s="33">
        <v>269.02882499999998</v>
      </c>
      <c r="K666" s="33">
        <v>8.7677750000000003</v>
      </c>
      <c r="L666" s="33">
        <v>3.6443400000000001</v>
      </c>
      <c r="M666" s="33">
        <v>-8.9623740000000005</v>
      </c>
      <c r="N666" s="35">
        <f>+M666-O666</f>
        <v>-4.1394460000000004</v>
      </c>
      <c r="O666" s="33">
        <v>-4.8229280000000001</v>
      </c>
      <c r="P666" s="36">
        <v>0</v>
      </c>
      <c r="Q666" s="36">
        <v>0</v>
      </c>
      <c r="R666" s="37">
        <f>SUM(P666:Q666)</f>
        <v>0</v>
      </c>
      <c r="S666" s="36"/>
      <c r="T666" s="38">
        <v>570</v>
      </c>
    </row>
    <row r="667" spans="2:20" ht="15.6" x14ac:dyDescent="0.3">
      <c r="B667" s="54">
        <f>+B666+1</f>
        <v>3</v>
      </c>
      <c r="C667" s="54" t="s">
        <v>956</v>
      </c>
      <c r="D667" s="31" t="s">
        <v>957</v>
      </c>
      <c r="E667" s="32">
        <v>45473</v>
      </c>
      <c r="F667" s="33">
        <v>120</v>
      </c>
      <c r="G667" s="34">
        <v>10</v>
      </c>
      <c r="H667" s="35">
        <f>+F667/G667</f>
        <v>12</v>
      </c>
      <c r="I667" s="33">
        <v>-55.857778000000003</v>
      </c>
      <c r="J667" s="33">
        <v>55.064670999999997</v>
      </c>
      <c r="K667" s="33">
        <v>20.238606000000001</v>
      </c>
      <c r="L667" s="33">
        <v>9.4808310000000002</v>
      </c>
      <c r="M667" s="33">
        <v>-14.286989</v>
      </c>
      <c r="N667" s="35">
        <f>+M667-O667</f>
        <v>0.69744399999999906</v>
      </c>
      <c r="O667" s="33">
        <v>-14.984432999999999</v>
      </c>
      <c r="P667" s="36">
        <v>0</v>
      </c>
      <c r="Q667" s="36">
        <v>0</v>
      </c>
      <c r="R667" s="37">
        <f>SUM(P667:Q667)</f>
        <v>0</v>
      </c>
      <c r="S667" s="36"/>
      <c r="T667" s="38">
        <v>1031</v>
      </c>
    </row>
    <row r="668" spans="2:20" ht="15.6" x14ac:dyDescent="0.3">
      <c r="B668" s="54">
        <f>+B667+1</f>
        <v>4</v>
      </c>
      <c r="C668" s="54" t="s">
        <v>958</v>
      </c>
      <c r="D668" s="31" t="s">
        <v>959</v>
      </c>
      <c r="E668" s="32">
        <v>45473</v>
      </c>
      <c r="F668" s="33">
        <v>551</v>
      </c>
      <c r="G668" s="34">
        <v>10</v>
      </c>
      <c r="H668" s="35">
        <f>+F668/G668</f>
        <v>55.1</v>
      </c>
      <c r="I668" s="33">
        <v>1320.7836259999999</v>
      </c>
      <c r="J668" s="33">
        <v>3436.7237449999998</v>
      </c>
      <c r="K668" s="33">
        <v>823.99830499999996</v>
      </c>
      <c r="L668" s="33">
        <v>68.448051000000007</v>
      </c>
      <c r="M668" s="33">
        <v>-753.26244999999994</v>
      </c>
      <c r="N668" s="35">
        <f>+M668-O668</f>
        <v>39.516210000000001</v>
      </c>
      <c r="O668" s="33">
        <v>-792.77865999999995</v>
      </c>
      <c r="P668" s="36">
        <v>0</v>
      </c>
      <c r="Q668" s="36">
        <v>0</v>
      </c>
      <c r="R668" s="37">
        <f>SUM(P668:Q668)</f>
        <v>0</v>
      </c>
      <c r="S668" s="36"/>
      <c r="T668" s="38">
        <v>6852</v>
      </c>
    </row>
    <row r="669" spans="2:20" ht="15.6" x14ac:dyDescent="0.3">
      <c r="B669" s="25"/>
      <c r="C669" s="25"/>
      <c r="D669" s="25"/>
      <c r="E669" s="25"/>
      <c r="F669" s="25"/>
      <c r="G669" s="40"/>
      <c r="H669" s="41"/>
      <c r="I669" s="27"/>
      <c r="J669" s="27"/>
      <c r="K669" s="27"/>
      <c r="L669" s="27"/>
      <c r="M669" s="27"/>
      <c r="N669" s="42"/>
      <c r="O669" s="27"/>
      <c r="P669" s="27"/>
      <c r="Q669" s="27"/>
      <c r="R669" s="42"/>
      <c r="S669" s="27"/>
      <c r="T669" s="27"/>
    </row>
    <row r="670" spans="2:20" ht="15.6" x14ac:dyDescent="0.3">
      <c r="B670" s="44">
        <f>COUNT(B641:B669)</f>
        <v>25</v>
      </c>
      <c r="C670" s="44"/>
      <c r="D670" s="45"/>
      <c r="E670" s="45"/>
      <c r="F670" s="45">
        <f>SUM(F641:F669)</f>
        <v>46624.731065</v>
      </c>
      <c r="G670" s="46"/>
      <c r="H670" s="47">
        <f t="shared" ref="H670:O670" si="163">SUM(H641:H669)</f>
        <v>4671.909313000001</v>
      </c>
      <c r="I670" s="45">
        <f t="shared" si="163"/>
        <v>188895.8582609999</v>
      </c>
      <c r="J670" s="45">
        <f t="shared" si="163"/>
        <v>490003.2244549999</v>
      </c>
      <c r="K670" s="45">
        <f t="shared" si="163"/>
        <v>524181.40250100009</v>
      </c>
      <c r="L670" s="45">
        <f t="shared" si="163"/>
        <v>29490.969242999992</v>
      </c>
      <c r="M670" s="45">
        <f t="shared" si="163"/>
        <v>26198.952119000005</v>
      </c>
      <c r="N670" s="48">
        <f t="shared" si="163"/>
        <v>6617.1707709999982</v>
      </c>
      <c r="O670" s="45">
        <f t="shared" si="163"/>
        <v>19581.781348</v>
      </c>
      <c r="P670" s="49"/>
      <c r="Q670" s="49"/>
      <c r="R670" s="50"/>
      <c r="S670" s="49"/>
      <c r="T670" s="51">
        <f>SUM(T641:T669)</f>
        <v>112404</v>
      </c>
    </row>
    <row r="671" spans="2:20" ht="15.6" x14ac:dyDescent="0.3">
      <c r="B671" s="25"/>
      <c r="C671" s="25"/>
      <c r="D671" s="25"/>
      <c r="E671" s="25"/>
      <c r="F671" s="25"/>
      <c r="G671" s="40"/>
      <c r="H671" s="41"/>
      <c r="I671" s="27"/>
      <c r="J671" s="27"/>
      <c r="K671" s="27"/>
      <c r="L671" s="27"/>
      <c r="M671" s="27"/>
      <c r="N671" s="42"/>
      <c r="O671" s="27"/>
      <c r="P671" s="27"/>
      <c r="Q671" s="27"/>
      <c r="R671" s="42"/>
      <c r="S671" s="27"/>
      <c r="T671" s="27"/>
    </row>
    <row r="672" spans="2:20" ht="15.6" x14ac:dyDescent="0.3">
      <c r="B672" s="25"/>
      <c r="C672" s="25"/>
      <c r="D672" s="25"/>
      <c r="E672" s="25"/>
      <c r="F672" s="25"/>
      <c r="G672" s="40"/>
      <c r="H672" s="41"/>
      <c r="I672" s="27"/>
      <c r="J672" s="27"/>
      <c r="K672" s="27"/>
      <c r="L672" s="27"/>
      <c r="M672" s="27"/>
      <c r="N672" s="42"/>
      <c r="O672" s="27"/>
      <c r="P672" s="27"/>
      <c r="Q672" s="27"/>
      <c r="R672" s="42"/>
      <c r="S672" s="27"/>
      <c r="T672" s="27"/>
    </row>
    <row r="673" spans="2:20" ht="18" x14ac:dyDescent="0.35">
      <c r="B673" s="25"/>
      <c r="C673" s="29">
        <v>31</v>
      </c>
      <c r="D673" s="29" t="s">
        <v>960</v>
      </c>
      <c r="E673" s="55"/>
      <c r="F673" s="55"/>
      <c r="G673" s="40"/>
      <c r="H673" s="41"/>
      <c r="I673" s="27"/>
      <c r="J673" s="27"/>
      <c r="K673" s="27"/>
      <c r="L673" s="27"/>
      <c r="M673" s="27"/>
      <c r="N673" s="42"/>
      <c r="O673" s="27"/>
      <c r="P673" s="27"/>
      <c r="Q673" s="27"/>
      <c r="R673" s="42"/>
      <c r="S673" s="27"/>
      <c r="T673" s="27"/>
    </row>
    <row r="674" spans="2:20" ht="15.6" x14ac:dyDescent="0.3">
      <c r="B674" s="25"/>
      <c r="C674" s="25"/>
      <c r="D674" s="25"/>
      <c r="E674" s="25"/>
      <c r="F674" s="25"/>
      <c r="G674" s="40"/>
      <c r="H674" s="41"/>
      <c r="I674" s="27"/>
      <c r="J674" s="27"/>
      <c r="K674" s="27"/>
      <c r="L674" s="27"/>
      <c r="M674" s="27"/>
      <c r="N674" s="42"/>
      <c r="O674" s="27"/>
      <c r="P674" s="27"/>
      <c r="Q674" s="27"/>
      <c r="R674" s="42"/>
      <c r="S674" s="27"/>
      <c r="T674" s="27"/>
    </row>
    <row r="675" spans="2:20" ht="15.6" x14ac:dyDescent="0.3">
      <c r="B675" s="30">
        <v>1</v>
      </c>
      <c r="C675" s="54" t="s">
        <v>961</v>
      </c>
      <c r="D675" s="31" t="s">
        <v>962</v>
      </c>
      <c r="E675" s="32">
        <v>45473</v>
      </c>
      <c r="F675" s="33">
        <v>4017.1292600000002</v>
      </c>
      <c r="G675" s="34">
        <v>10</v>
      </c>
      <c r="H675" s="35">
        <f t="shared" ref="H675:H683" si="164">+F675/G675</f>
        <v>401.71292600000004</v>
      </c>
      <c r="I675" s="33">
        <v>13681.886</v>
      </c>
      <c r="J675" s="33">
        <v>29536.931</v>
      </c>
      <c r="K675" s="33">
        <v>42015.48</v>
      </c>
      <c r="L675" s="33">
        <v>1847.8340000000001</v>
      </c>
      <c r="M675" s="33">
        <v>963.04499999999996</v>
      </c>
      <c r="N675" s="35">
        <f t="shared" ref="N675:N683" si="165">+M675-O675</f>
        <v>439.15199999999993</v>
      </c>
      <c r="O675" s="33">
        <v>523.89300000000003</v>
      </c>
      <c r="P675" s="36">
        <v>0</v>
      </c>
      <c r="Q675" s="36">
        <v>0</v>
      </c>
      <c r="R675" s="37">
        <f t="shared" ref="R675:R681" si="166">SUM(P675:Q675)</f>
        <v>0</v>
      </c>
      <c r="S675" s="36"/>
      <c r="T675" s="38">
        <v>4337</v>
      </c>
    </row>
    <row r="676" spans="2:20" ht="15.6" x14ac:dyDescent="0.3">
      <c r="B676" s="30">
        <f t="shared" ref="B676:B684" si="167">+B675+1</f>
        <v>2</v>
      </c>
      <c r="C676" s="30" t="s">
        <v>963</v>
      </c>
      <c r="D676" s="31" t="s">
        <v>964</v>
      </c>
      <c r="E676" s="32">
        <v>45473</v>
      </c>
      <c r="F676" s="33">
        <v>490.95396</v>
      </c>
      <c r="G676" s="34">
        <v>10</v>
      </c>
      <c r="H676" s="35">
        <f t="shared" si="164"/>
        <v>49.095396000000001</v>
      </c>
      <c r="I676" s="33">
        <v>8152.1459999999997</v>
      </c>
      <c r="J676" s="33">
        <v>13792.914000000001</v>
      </c>
      <c r="K676" s="33">
        <v>13820.153</v>
      </c>
      <c r="L676" s="33">
        <v>837.73</v>
      </c>
      <c r="M676" s="33">
        <v>1038.2760000000001</v>
      </c>
      <c r="N676" s="35">
        <f t="shared" si="165"/>
        <v>152.38400000000001</v>
      </c>
      <c r="O676" s="33">
        <v>885.89200000000005</v>
      </c>
      <c r="P676" s="36">
        <f>10+35</f>
        <v>45</v>
      </c>
      <c r="Q676" s="36">
        <v>0</v>
      </c>
      <c r="R676" s="37">
        <f t="shared" si="166"/>
        <v>45</v>
      </c>
      <c r="S676" s="36"/>
      <c r="T676" s="38">
        <v>1532</v>
      </c>
    </row>
    <row r="677" spans="2:20" ht="15.6" x14ac:dyDescent="0.3">
      <c r="B677" s="30">
        <f t="shared" si="167"/>
        <v>3</v>
      </c>
      <c r="C677" s="30" t="s">
        <v>965</v>
      </c>
      <c r="D677" s="31" t="s">
        <v>966</v>
      </c>
      <c r="E677" s="32">
        <v>45473</v>
      </c>
      <c r="F677" s="33">
        <v>7002</v>
      </c>
      <c r="G677" s="34">
        <v>10</v>
      </c>
      <c r="H677" s="35">
        <f t="shared" si="164"/>
        <v>700.2</v>
      </c>
      <c r="I677" s="33">
        <v>15547.392</v>
      </c>
      <c r="J677" s="33">
        <v>27632.047999999999</v>
      </c>
      <c r="K677" s="33">
        <v>17088.884999999998</v>
      </c>
      <c r="L677" s="33">
        <v>1527.181</v>
      </c>
      <c r="M677" s="33">
        <v>1739.098</v>
      </c>
      <c r="N677" s="35">
        <f t="shared" si="165"/>
        <v>601.58500000000004</v>
      </c>
      <c r="O677" s="33">
        <v>1137.5129999999999</v>
      </c>
      <c r="P677" s="36">
        <v>0</v>
      </c>
      <c r="Q677" s="36">
        <v>0</v>
      </c>
      <c r="R677" s="37">
        <f t="shared" ref="R677" si="168">SUM(P677:Q677)</f>
        <v>0</v>
      </c>
      <c r="S677" s="36"/>
      <c r="T677" s="38">
        <v>1841</v>
      </c>
    </row>
    <row r="678" spans="2:20" ht="15.6" x14ac:dyDescent="0.3">
      <c r="B678" s="30">
        <f t="shared" si="167"/>
        <v>4</v>
      </c>
      <c r="C678" s="30" t="s">
        <v>967</v>
      </c>
      <c r="D678" s="31" t="s">
        <v>968</v>
      </c>
      <c r="E678" s="32">
        <v>45473</v>
      </c>
      <c r="F678" s="33">
        <v>593.01149999999996</v>
      </c>
      <c r="G678" s="34">
        <v>10</v>
      </c>
      <c r="H678" s="35">
        <f>+F678/G678</f>
        <v>59.301149999999993</v>
      </c>
      <c r="I678" s="33">
        <v>2236.9712709999999</v>
      </c>
      <c r="J678" s="33">
        <v>4805.6613010000001</v>
      </c>
      <c r="K678" s="33">
        <v>5619.4082330000001</v>
      </c>
      <c r="L678" s="33">
        <v>135.11886899999999</v>
      </c>
      <c r="M678" s="33">
        <v>417.61397399999998</v>
      </c>
      <c r="N678" s="35">
        <f>+M678-O678</f>
        <v>159.893665</v>
      </c>
      <c r="O678" s="33">
        <v>257.72030899999999</v>
      </c>
      <c r="P678" s="36">
        <v>12.5</v>
      </c>
      <c r="Q678" s="36">
        <v>0</v>
      </c>
      <c r="R678" s="37">
        <f>SUM(P678:Q678)</f>
        <v>12.5</v>
      </c>
      <c r="S678" s="36"/>
      <c r="T678" s="38">
        <v>1196</v>
      </c>
    </row>
    <row r="679" spans="2:20" ht="15.6" x14ac:dyDescent="0.3">
      <c r="B679" s="30">
        <f t="shared" si="167"/>
        <v>5</v>
      </c>
      <c r="C679" s="30" t="s">
        <v>969</v>
      </c>
      <c r="D679" s="31" t="s">
        <v>970</v>
      </c>
      <c r="E679" s="32">
        <v>45473</v>
      </c>
      <c r="F679" s="33">
        <v>1999.5842700000001</v>
      </c>
      <c r="G679" s="34">
        <v>10</v>
      </c>
      <c r="H679" s="35">
        <f t="shared" si="164"/>
        <v>199.958427</v>
      </c>
      <c r="I679" s="33">
        <v>2923.912562</v>
      </c>
      <c r="J679" s="33">
        <v>5327.7827029999999</v>
      </c>
      <c r="K679" s="33">
        <v>6638.4773679999998</v>
      </c>
      <c r="L679" s="33">
        <v>351.72840000000002</v>
      </c>
      <c r="M679" s="33">
        <v>-186.36242200000001</v>
      </c>
      <c r="N679" s="35">
        <f t="shared" si="165"/>
        <v>0</v>
      </c>
      <c r="O679" s="33">
        <v>-186.36242200000001</v>
      </c>
      <c r="P679" s="36">
        <v>0</v>
      </c>
      <c r="Q679" s="36">
        <v>0</v>
      </c>
      <c r="R679" s="37">
        <f t="shared" si="166"/>
        <v>0</v>
      </c>
      <c r="S679" s="36"/>
      <c r="T679" s="38">
        <v>1550</v>
      </c>
    </row>
    <row r="680" spans="2:20" ht="15.6" x14ac:dyDescent="0.3">
      <c r="B680" s="30">
        <f t="shared" si="167"/>
        <v>6</v>
      </c>
      <c r="C680" s="30" t="s">
        <v>971</v>
      </c>
      <c r="D680" s="31" t="s">
        <v>972</v>
      </c>
      <c r="E680" s="32">
        <v>45657</v>
      </c>
      <c r="F680" s="33">
        <v>893.79503999999997</v>
      </c>
      <c r="G680" s="34">
        <v>10</v>
      </c>
      <c r="H680" s="35">
        <f t="shared" si="164"/>
        <v>89.379503999999997</v>
      </c>
      <c r="I680" s="33">
        <v>55218.542999999998</v>
      </c>
      <c r="J680" s="33">
        <v>67139.237999999998</v>
      </c>
      <c r="K680" s="33">
        <v>4727.05</v>
      </c>
      <c r="L680" s="33">
        <v>1588.4870000000001</v>
      </c>
      <c r="M680" s="33">
        <v>2155.6320000000001</v>
      </c>
      <c r="N680" s="35">
        <f t="shared" si="165"/>
        <v>243.29200000000014</v>
      </c>
      <c r="O680" s="33">
        <v>1912.34</v>
      </c>
      <c r="P680" s="36">
        <v>150</v>
      </c>
      <c r="Q680" s="36">
        <v>0</v>
      </c>
      <c r="R680" s="37">
        <f t="shared" si="166"/>
        <v>150</v>
      </c>
      <c r="S680" s="36"/>
      <c r="T680" s="38">
        <v>3870</v>
      </c>
    </row>
    <row r="681" spans="2:20" ht="15.6" x14ac:dyDescent="0.3">
      <c r="B681" s="30">
        <f t="shared" si="167"/>
        <v>7</v>
      </c>
      <c r="C681" s="54" t="s">
        <v>973</v>
      </c>
      <c r="D681" s="31" t="s">
        <v>974</v>
      </c>
      <c r="E681" s="32">
        <v>45473</v>
      </c>
      <c r="F681" s="33">
        <v>80</v>
      </c>
      <c r="G681" s="34">
        <v>10</v>
      </c>
      <c r="H681" s="35">
        <f t="shared" si="164"/>
        <v>8</v>
      </c>
      <c r="I681" s="33">
        <v>1661.341964</v>
      </c>
      <c r="J681" s="33">
        <v>2141.327284</v>
      </c>
      <c r="K681" s="33">
        <v>1927.2810320000001</v>
      </c>
      <c r="L681" s="33">
        <v>59.853945000000003</v>
      </c>
      <c r="M681" s="33">
        <v>231.101328</v>
      </c>
      <c r="N681" s="35">
        <f t="shared" si="165"/>
        <v>75.190498999999988</v>
      </c>
      <c r="O681" s="33">
        <v>155.91082900000001</v>
      </c>
      <c r="P681" s="36">
        <f>35+40</f>
        <v>75</v>
      </c>
      <c r="Q681" s="36">
        <v>0</v>
      </c>
      <c r="R681" s="37">
        <f t="shared" si="166"/>
        <v>75</v>
      </c>
      <c r="S681" s="36"/>
      <c r="T681" s="38">
        <v>807</v>
      </c>
    </row>
    <row r="682" spans="2:20" ht="15.6" x14ac:dyDescent="0.3">
      <c r="B682" s="30">
        <f t="shared" si="167"/>
        <v>8</v>
      </c>
      <c r="C682" s="54" t="s">
        <v>975</v>
      </c>
      <c r="D682" s="31" t="s">
        <v>976</v>
      </c>
      <c r="E682" s="32">
        <v>45473</v>
      </c>
      <c r="F682" s="33">
        <v>1419</v>
      </c>
      <c r="G682" s="34">
        <v>10</v>
      </c>
      <c r="H682" s="35">
        <f t="shared" si="164"/>
        <v>141.9</v>
      </c>
      <c r="I682" s="33">
        <v>7672.2045010000002</v>
      </c>
      <c r="J682" s="33">
        <v>11863.943861</v>
      </c>
      <c r="K682" s="33">
        <v>10333.515868</v>
      </c>
      <c r="L682" s="33">
        <v>300.71421800000002</v>
      </c>
      <c r="M682" s="33">
        <v>415.73591499999998</v>
      </c>
      <c r="N682" s="35">
        <f t="shared" si="165"/>
        <v>204.47422799999998</v>
      </c>
      <c r="O682" s="33">
        <v>211.26168699999999</v>
      </c>
      <c r="P682" s="36">
        <v>10</v>
      </c>
      <c r="Q682" s="36">
        <v>0</v>
      </c>
      <c r="R682" s="37">
        <f t="shared" ref="R682" si="169">SUM(P682:Q682)</f>
        <v>10</v>
      </c>
      <c r="S682" s="36"/>
      <c r="T682" s="38">
        <v>5230</v>
      </c>
    </row>
    <row r="683" spans="2:20" ht="15.6" x14ac:dyDescent="0.3">
      <c r="B683" s="30">
        <f t="shared" si="167"/>
        <v>9</v>
      </c>
      <c r="C683" s="54" t="s">
        <v>977</v>
      </c>
      <c r="D683" s="31" t="s">
        <v>978</v>
      </c>
      <c r="E683" s="32">
        <v>45473</v>
      </c>
      <c r="F683" s="33">
        <v>592.55899999999997</v>
      </c>
      <c r="G683" s="34">
        <v>10</v>
      </c>
      <c r="H683" s="35">
        <f t="shared" si="164"/>
        <v>59.255899999999997</v>
      </c>
      <c r="I683" s="33">
        <v>8220.2980000000007</v>
      </c>
      <c r="J683" s="33">
        <v>10541.58</v>
      </c>
      <c r="K683" s="33">
        <v>7311.732</v>
      </c>
      <c r="L683" s="33">
        <v>6.0880000000000001</v>
      </c>
      <c r="M683" s="33">
        <v>2392.1579999999999</v>
      </c>
      <c r="N683" s="35">
        <f t="shared" si="165"/>
        <v>903.47399999999993</v>
      </c>
      <c r="O683" s="33">
        <v>1488.684</v>
      </c>
      <c r="P683" s="36">
        <f>25+100</f>
        <v>125</v>
      </c>
      <c r="Q683" s="36">
        <v>0</v>
      </c>
      <c r="R683" s="37">
        <f t="shared" ref="R683" si="170">SUM(P683:Q683)</f>
        <v>125</v>
      </c>
      <c r="S683" s="36"/>
      <c r="T683" s="38">
        <v>1931</v>
      </c>
    </row>
    <row r="684" spans="2:20" ht="15.6" x14ac:dyDescent="0.3">
      <c r="B684" s="30">
        <f t="shared" si="167"/>
        <v>10</v>
      </c>
      <c r="C684" s="30" t="s">
        <v>979</v>
      </c>
      <c r="D684" s="31" t="s">
        <v>980</v>
      </c>
      <c r="E684" s="32">
        <v>45473</v>
      </c>
      <c r="F684" s="33">
        <v>998.68007999999998</v>
      </c>
      <c r="G684" s="34">
        <v>5</v>
      </c>
      <c r="H684" s="35">
        <f>+F684/G684</f>
        <v>199.73601600000001</v>
      </c>
      <c r="I684" s="33">
        <v>5122.3891110000004</v>
      </c>
      <c r="J684" s="33">
        <v>7303.401089</v>
      </c>
      <c r="K684" s="33">
        <v>6965.1046669999996</v>
      </c>
      <c r="L684" s="33">
        <v>133.274247</v>
      </c>
      <c r="M684" s="33">
        <v>907.81886799999995</v>
      </c>
      <c r="N684" s="35">
        <f>+M684-O684</f>
        <v>266.85172799999998</v>
      </c>
      <c r="O684" s="33">
        <v>640.96713999999997</v>
      </c>
      <c r="P684" s="36">
        <v>16</v>
      </c>
      <c r="Q684" s="36">
        <v>0</v>
      </c>
      <c r="R684" s="37">
        <f>SUM(P684:Q684)</f>
        <v>16</v>
      </c>
      <c r="S684" s="36"/>
      <c r="T684" s="38">
        <v>1988</v>
      </c>
    </row>
    <row r="685" spans="2:20" ht="15.6" x14ac:dyDescent="0.3">
      <c r="B685" s="25"/>
      <c r="C685" s="25"/>
      <c r="D685" s="25"/>
      <c r="E685" s="25"/>
      <c r="F685" s="25"/>
      <c r="G685" s="40"/>
      <c r="H685" s="41"/>
      <c r="I685" s="27"/>
      <c r="J685" s="27"/>
      <c r="K685" s="27"/>
      <c r="L685" s="27"/>
      <c r="M685" s="27"/>
      <c r="N685" s="42"/>
      <c r="O685" s="27"/>
      <c r="P685" s="27"/>
      <c r="Q685" s="27"/>
      <c r="R685" s="42"/>
      <c r="S685" s="27"/>
      <c r="T685" s="27"/>
    </row>
    <row r="686" spans="2:20" ht="18" x14ac:dyDescent="0.35">
      <c r="B686" s="25"/>
      <c r="C686" s="25"/>
      <c r="D686" s="53" t="s">
        <v>1127</v>
      </c>
      <c r="E686" s="25"/>
      <c r="F686" s="25"/>
      <c r="G686" s="40"/>
      <c r="H686" s="41"/>
      <c r="I686" s="27"/>
      <c r="J686" s="27"/>
      <c r="K686" s="27"/>
      <c r="L686" s="27"/>
      <c r="M686" s="27"/>
      <c r="N686" s="42"/>
      <c r="O686" s="27"/>
      <c r="P686" s="27"/>
      <c r="Q686" s="27"/>
      <c r="R686" s="42"/>
      <c r="S686" s="27"/>
      <c r="T686" s="27"/>
    </row>
    <row r="687" spans="2:20" ht="15.6" x14ac:dyDescent="0.3">
      <c r="B687" s="54">
        <v>1</v>
      </c>
      <c r="C687" s="54" t="s">
        <v>981</v>
      </c>
      <c r="D687" s="31" t="s">
        <v>982</v>
      </c>
      <c r="E687" s="32">
        <v>45473</v>
      </c>
      <c r="F687" s="33"/>
      <c r="G687" s="34">
        <v>10</v>
      </c>
      <c r="H687" s="35">
        <f>+F687/G687</f>
        <v>0</v>
      </c>
      <c r="I687" s="33"/>
      <c r="J687" s="33"/>
      <c r="K687" s="33"/>
      <c r="L687" s="33"/>
      <c r="M687" s="33"/>
      <c r="N687" s="33">
        <f>+M687-O687</f>
        <v>0</v>
      </c>
      <c r="O687" s="33"/>
      <c r="P687" s="36"/>
      <c r="Q687" s="36"/>
      <c r="R687" s="36">
        <f>SUM(P687:Q687)</f>
        <v>0</v>
      </c>
      <c r="S687" s="36"/>
      <c r="T687" s="38"/>
    </row>
    <row r="688" spans="2:20" ht="15.6" x14ac:dyDescent="0.3">
      <c r="B688" s="54">
        <f>+B687+1</f>
        <v>2</v>
      </c>
      <c r="C688" s="30" t="s">
        <v>983</v>
      </c>
      <c r="D688" s="31" t="s">
        <v>984</v>
      </c>
      <c r="E688" s="32">
        <v>45473</v>
      </c>
      <c r="F688" s="33">
        <v>40</v>
      </c>
      <c r="G688" s="34">
        <v>10</v>
      </c>
      <c r="H688" s="35">
        <f>+F688/G688</f>
        <v>4</v>
      </c>
      <c r="I688" s="33">
        <v>30.918520000000001</v>
      </c>
      <c r="J688" s="33">
        <v>43.612412999999997</v>
      </c>
      <c r="K688" s="33">
        <v>0</v>
      </c>
      <c r="L688" s="33">
        <v>0</v>
      </c>
      <c r="M688" s="33">
        <v>-3.627408</v>
      </c>
      <c r="N688" s="35">
        <f>+M688-O688</f>
        <v>-1.0519479999999999</v>
      </c>
      <c r="O688" s="33">
        <v>-2.5754600000000001</v>
      </c>
      <c r="P688" s="36">
        <v>0</v>
      </c>
      <c r="Q688" s="36">
        <v>0</v>
      </c>
      <c r="R688" s="37">
        <f>SUM(P688:Q688)</f>
        <v>0</v>
      </c>
      <c r="S688" s="36"/>
      <c r="T688" s="38">
        <v>88</v>
      </c>
    </row>
    <row r="689" spans="2:20" ht="15.6" x14ac:dyDescent="0.3">
      <c r="B689" s="25"/>
      <c r="C689" s="25"/>
      <c r="D689" s="25"/>
      <c r="E689" s="25"/>
      <c r="F689" s="25"/>
      <c r="G689" s="40"/>
      <c r="H689" s="41"/>
      <c r="I689" s="27"/>
      <c r="J689" s="27"/>
      <c r="K689" s="27"/>
      <c r="L689" s="27"/>
      <c r="M689" s="27"/>
      <c r="N689" s="42"/>
      <c r="O689" s="27"/>
      <c r="P689" s="27"/>
      <c r="Q689" s="27"/>
      <c r="R689" s="42"/>
      <c r="S689" s="27"/>
      <c r="T689" s="27"/>
    </row>
    <row r="690" spans="2:20" ht="15.6" x14ac:dyDescent="0.3">
      <c r="B690" s="44">
        <f>COUNT(B675:B689)</f>
        <v>12</v>
      </c>
      <c r="C690" s="44"/>
      <c r="D690" s="45"/>
      <c r="E690" s="45"/>
      <c r="F690" s="45">
        <f>SUM(F675:F689)</f>
        <v>18126.713110000001</v>
      </c>
      <c r="G690" s="46"/>
      <c r="H690" s="47">
        <f t="shared" ref="H690:O690" si="171">SUM(H675:H689)</f>
        <v>1912.5393190000002</v>
      </c>
      <c r="I690" s="45">
        <f t="shared" si="171"/>
        <v>120468.00292900001</v>
      </c>
      <c r="J690" s="45">
        <f t="shared" si="171"/>
        <v>180128.43965099996</v>
      </c>
      <c r="K690" s="45">
        <f t="shared" si="171"/>
        <v>116447.087168</v>
      </c>
      <c r="L690" s="45">
        <f t="shared" si="171"/>
        <v>6788.0096790000007</v>
      </c>
      <c r="M690" s="45">
        <f t="shared" si="171"/>
        <v>10070.489254999999</v>
      </c>
      <c r="N690" s="48">
        <f t="shared" si="171"/>
        <v>3045.2451720000008</v>
      </c>
      <c r="O690" s="45">
        <f t="shared" si="171"/>
        <v>7025.2440829999996</v>
      </c>
      <c r="P690" s="49"/>
      <c r="Q690" s="49"/>
      <c r="R690" s="50"/>
      <c r="S690" s="49"/>
      <c r="T690" s="51">
        <f>SUM(T675:T689)</f>
        <v>24370</v>
      </c>
    </row>
    <row r="691" spans="2:20" ht="15.6" x14ac:dyDescent="0.3">
      <c r="B691" s="25"/>
      <c r="C691" s="25"/>
      <c r="D691" s="25"/>
      <c r="E691" s="25"/>
      <c r="F691" s="25"/>
      <c r="G691" s="40"/>
      <c r="H691" s="41"/>
      <c r="I691" s="27"/>
      <c r="J691" s="27"/>
      <c r="K691" s="27"/>
      <c r="L691" s="27"/>
      <c r="M691" s="27"/>
      <c r="N691" s="42"/>
      <c r="O691" s="27"/>
      <c r="P691" s="27"/>
      <c r="Q691" s="27"/>
      <c r="R691" s="42"/>
      <c r="S691" s="27"/>
      <c r="T691" s="27"/>
    </row>
    <row r="692" spans="2:20" ht="15.6" x14ac:dyDescent="0.3">
      <c r="B692" s="25"/>
      <c r="C692" s="25"/>
      <c r="D692" s="25"/>
      <c r="E692" s="25"/>
      <c r="F692" s="25"/>
      <c r="G692" s="40"/>
      <c r="H692" s="41"/>
      <c r="I692" s="27"/>
      <c r="J692" s="27"/>
      <c r="K692" s="27"/>
      <c r="L692" s="27"/>
      <c r="M692" s="27"/>
      <c r="N692" s="42"/>
      <c r="O692" s="27"/>
      <c r="P692" s="27"/>
      <c r="Q692" s="27"/>
      <c r="R692" s="42"/>
      <c r="S692" s="27"/>
      <c r="T692" s="27"/>
    </row>
    <row r="693" spans="2:20" ht="18" x14ac:dyDescent="0.35">
      <c r="B693" s="25"/>
      <c r="C693" s="29">
        <v>32</v>
      </c>
      <c r="D693" s="29" t="s">
        <v>985</v>
      </c>
      <c r="E693" s="55"/>
      <c r="F693" s="55"/>
      <c r="G693" s="40"/>
      <c r="H693" s="41"/>
      <c r="I693" s="27"/>
      <c r="J693" s="27"/>
      <c r="K693" s="27"/>
      <c r="L693" s="27"/>
      <c r="M693" s="27"/>
      <c r="N693" s="42"/>
      <c r="O693" s="27"/>
      <c r="P693" s="27"/>
      <c r="Q693" s="27"/>
      <c r="R693" s="42"/>
      <c r="S693" s="27"/>
      <c r="T693" s="27"/>
    </row>
    <row r="694" spans="2:20" ht="15.6" x14ac:dyDescent="0.3">
      <c r="B694" s="25"/>
      <c r="C694" s="25"/>
      <c r="D694" s="25"/>
      <c r="E694" s="25"/>
      <c r="F694" s="25"/>
      <c r="G694" s="40"/>
      <c r="H694" s="41"/>
      <c r="I694" s="27"/>
      <c r="J694" s="27"/>
      <c r="K694" s="27"/>
      <c r="L694" s="27"/>
      <c r="M694" s="27"/>
      <c r="N694" s="42"/>
      <c r="O694" s="27"/>
      <c r="P694" s="27"/>
      <c r="Q694" s="27"/>
      <c r="R694" s="42"/>
      <c r="S694" s="27"/>
      <c r="T694" s="27"/>
    </row>
    <row r="695" spans="2:20" ht="15.6" x14ac:dyDescent="0.3">
      <c r="B695" s="30">
        <v>1</v>
      </c>
      <c r="C695" s="30" t="s">
        <v>986</v>
      </c>
      <c r="D695" s="31" t="s">
        <v>987</v>
      </c>
      <c r="E695" s="32">
        <v>45473</v>
      </c>
      <c r="F695" s="33">
        <v>77.625380000000007</v>
      </c>
      <c r="G695" s="34">
        <v>10</v>
      </c>
      <c r="H695" s="35">
        <f>+F695/G695</f>
        <v>7.762538000000001</v>
      </c>
      <c r="I695" s="33">
        <v>2622.1579069999998</v>
      </c>
      <c r="J695" s="33">
        <v>4338.0066440000001</v>
      </c>
      <c r="K695" s="33">
        <v>8052.4435759999997</v>
      </c>
      <c r="L695" s="33">
        <v>168.80621500000001</v>
      </c>
      <c r="M695" s="33">
        <v>10.769876999999999</v>
      </c>
      <c r="N695" s="35">
        <f>+M695-O695</f>
        <v>48.184415000000001</v>
      </c>
      <c r="O695" s="33">
        <v>-37.414538</v>
      </c>
      <c r="P695" s="36">
        <v>0</v>
      </c>
      <c r="Q695" s="36">
        <v>0</v>
      </c>
      <c r="R695" s="37">
        <f>SUM(P695:Q695)</f>
        <v>0</v>
      </c>
      <c r="S695" s="36"/>
      <c r="T695" s="38">
        <v>1190</v>
      </c>
    </row>
    <row r="696" spans="2:20" ht="15.6" x14ac:dyDescent="0.3">
      <c r="B696" s="30">
        <f>+B695+1</f>
        <v>2</v>
      </c>
      <c r="C696" s="30" t="s">
        <v>988</v>
      </c>
      <c r="D696" s="31" t="s">
        <v>989</v>
      </c>
      <c r="E696" s="32">
        <v>45473</v>
      </c>
      <c r="F696" s="33">
        <v>56.584000000000003</v>
      </c>
      <c r="G696" s="34">
        <v>10</v>
      </c>
      <c r="H696" s="35">
        <f>+F696/G696</f>
        <v>5.6584000000000003</v>
      </c>
      <c r="I696" s="33">
        <v>1675.541858</v>
      </c>
      <c r="J696" s="33">
        <v>3278.6171020000002</v>
      </c>
      <c r="K696" s="33">
        <v>4516.3471749999999</v>
      </c>
      <c r="L696" s="33">
        <v>278.12479000000002</v>
      </c>
      <c r="M696" s="33">
        <v>-148.32440099999999</v>
      </c>
      <c r="N696" s="35">
        <f>+M696-O696</f>
        <v>-0.48170700000000011</v>
      </c>
      <c r="O696" s="33">
        <v>-147.84269399999999</v>
      </c>
      <c r="P696" s="36">
        <v>0</v>
      </c>
      <c r="Q696" s="36">
        <v>0</v>
      </c>
      <c r="R696" s="37">
        <f>SUM(P696:Q696)</f>
        <v>0</v>
      </c>
      <c r="S696" s="36"/>
      <c r="T696" s="38">
        <v>971</v>
      </c>
    </row>
    <row r="697" spans="2:20" ht="15.6" x14ac:dyDescent="0.3">
      <c r="B697" s="25"/>
      <c r="C697" s="25"/>
      <c r="D697" s="25"/>
      <c r="E697" s="25"/>
      <c r="F697" s="25"/>
      <c r="G697" s="40"/>
      <c r="H697" s="41"/>
      <c r="I697" s="27"/>
      <c r="J697" s="27"/>
      <c r="K697" s="27"/>
      <c r="L697" s="27"/>
      <c r="M697" s="27"/>
      <c r="N697" s="42"/>
      <c r="O697" s="27"/>
      <c r="P697" s="27"/>
      <c r="Q697" s="27"/>
      <c r="R697" s="42"/>
      <c r="S697" s="27"/>
      <c r="T697" s="27"/>
    </row>
    <row r="698" spans="2:20" ht="18" x14ac:dyDescent="0.35">
      <c r="B698" s="25"/>
      <c r="C698" s="25"/>
      <c r="D698" s="53" t="s">
        <v>1127</v>
      </c>
      <c r="E698" s="25"/>
      <c r="F698" s="25"/>
      <c r="G698" s="40"/>
      <c r="H698" s="41"/>
      <c r="I698" s="27"/>
      <c r="J698" s="27"/>
      <c r="K698" s="27"/>
      <c r="L698" s="27"/>
      <c r="M698" s="27"/>
      <c r="N698" s="42"/>
      <c r="O698" s="27"/>
      <c r="P698" s="27"/>
      <c r="Q698" s="27"/>
      <c r="R698" s="42"/>
      <c r="S698" s="27"/>
      <c r="T698" s="27"/>
    </row>
    <row r="699" spans="2:20" ht="15.6" x14ac:dyDescent="0.3">
      <c r="B699" s="30">
        <v>1</v>
      </c>
      <c r="C699" s="30" t="s">
        <v>990</v>
      </c>
      <c r="D699" s="31" t="s">
        <v>991</v>
      </c>
      <c r="E699" s="32">
        <v>45473</v>
      </c>
      <c r="F699" s="33"/>
      <c r="G699" s="34">
        <v>10</v>
      </c>
      <c r="H699" s="35">
        <f>+F699/G699</f>
        <v>0</v>
      </c>
      <c r="I699" s="33"/>
      <c r="J699" s="33"/>
      <c r="K699" s="33"/>
      <c r="L699" s="33"/>
      <c r="M699" s="33"/>
      <c r="N699" s="35">
        <f>+M699-O699</f>
        <v>0</v>
      </c>
      <c r="O699" s="33"/>
      <c r="P699" s="36"/>
      <c r="Q699" s="36"/>
      <c r="R699" s="37">
        <f>SUM(P699:Q699)</f>
        <v>0</v>
      </c>
      <c r="S699" s="36"/>
      <c r="T699" s="38"/>
    </row>
    <row r="700" spans="2:20" ht="15.6" x14ac:dyDescent="0.3">
      <c r="B700" s="25"/>
      <c r="C700" s="25"/>
      <c r="D700" s="25"/>
      <c r="E700" s="25"/>
      <c r="F700" s="25"/>
      <c r="G700" s="40"/>
      <c r="H700" s="41"/>
      <c r="I700" s="27"/>
      <c r="J700" s="27"/>
      <c r="K700" s="27"/>
      <c r="L700" s="27"/>
      <c r="M700" s="27"/>
      <c r="N700" s="42"/>
      <c r="O700" s="27"/>
      <c r="P700" s="27"/>
      <c r="Q700" s="27"/>
      <c r="R700" s="42"/>
      <c r="S700" s="27"/>
      <c r="T700" s="27"/>
    </row>
    <row r="701" spans="2:20" ht="15.6" x14ac:dyDescent="0.3">
      <c r="B701" s="44">
        <f>COUNT(B695:B700)</f>
        <v>3</v>
      </c>
      <c r="C701" s="44"/>
      <c r="D701" s="45"/>
      <c r="E701" s="45"/>
      <c r="F701" s="45">
        <f>SUM(F695:F700)</f>
        <v>134.20938000000001</v>
      </c>
      <c r="G701" s="46"/>
      <c r="H701" s="47">
        <f t="shared" ref="H701:O701" si="172">SUM(H695:H700)</f>
        <v>13.420938000000001</v>
      </c>
      <c r="I701" s="45">
        <f t="shared" si="172"/>
        <v>4297.6997649999994</v>
      </c>
      <c r="J701" s="45">
        <f t="shared" si="172"/>
        <v>7616.6237460000002</v>
      </c>
      <c r="K701" s="45">
        <f t="shared" si="172"/>
        <v>12568.790751</v>
      </c>
      <c r="L701" s="45">
        <f t="shared" si="172"/>
        <v>446.93100500000003</v>
      </c>
      <c r="M701" s="45">
        <f t="shared" si="172"/>
        <v>-137.55452399999999</v>
      </c>
      <c r="N701" s="48">
        <f t="shared" si="172"/>
        <v>47.702708000000001</v>
      </c>
      <c r="O701" s="45">
        <f t="shared" si="172"/>
        <v>-185.25723199999999</v>
      </c>
      <c r="P701" s="49"/>
      <c r="Q701" s="49"/>
      <c r="R701" s="50"/>
      <c r="S701" s="49"/>
      <c r="T701" s="51">
        <f>SUM(T695:T700)</f>
        <v>2161</v>
      </c>
    </row>
    <row r="702" spans="2:20" ht="15.6" x14ac:dyDescent="0.3">
      <c r="B702" s="25"/>
      <c r="C702" s="25"/>
      <c r="D702" s="25"/>
      <c r="E702" s="25"/>
      <c r="F702" s="25"/>
      <c r="G702" s="40"/>
      <c r="H702" s="41"/>
      <c r="I702" s="27"/>
      <c r="J702" s="27"/>
      <c r="K702" s="27"/>
      <c r="L702" s="27"/>
      <c r="M702" s="27"/>
      <c r="N702" s="42"/>
      <c r="O702" s="27"/>
      <c r="P702" s="27"/>
      <c r="Q702" s="27"/>
      <c r="R702" s="42"/>
      <c r="S702" s="27"/>
      <c r="T702" s="27"/>
    </row>
    <row r="703" spans="2:20" ht="15.6" x14ac:dyDescent="0.3">
      <c r="B703" s="25"/>
      <c r="C703" s="25"/>
      <c r="D703" s="25"/>
      <c r="E703" s="25"/>
      <c r="F703" s="25"/>
      <c r="G703" s="40"/>
      <c r="H703" s="41"/>
      <c r="I703" s="27"/>
      <c r="J703" s="27"/>
      <c r="K703" s="27"/>
      <c r="L703" s="27"/>
      <c r="M703" s="27"/>
      <c r="N703" s="42"/>
      <c r="O703" s="27"/>
      <c r="P703" s="27"/>
      <c r="Q703" s="27"/>
      <c r="R703" s="42"/>
      <c r="S703" s="27"/>
      <c r="T703" s="27"/>
    </row>
    <row r="704" spans="2:20" ht="18" x14ac:dyDescent="0.35">
      <c r="B704" s="25"/>
      <c r="C704" s="29">
        <v>33</v>
      </c>
      <c r="D704" s="29" t="s">
        <v>992</v>
      </c>
      <c r="E704" s="55"/>
      <c r="F704" s="55"/>
      <c r="G704" s="40"/>
      <c r="H704" s="41"/>
      <c r="I704" s="27"/>
      <c r="J704" s="27"/>
      <c r="K704" s="27"/>
      <c r="L704" s="27"/>
      <c r="M704" s="27"/>
      <c r="N704" s="42"/>
      <c r="O704" s="27"/>
      <c r="P704" s="27"/>
      <c r="Q704" s="27"/>
      <c r="R704" s="42"/>
      <c r="S704" s="27"/>
      <c r="T704" s="27"/>
    </row>
    <row r="705" spans="2:20" ht="15.6" x14ac:dyDescent="0.3">
      <c r="B705" s="25"/>
      <c r="C705" s="25"/>
      <c r="D705" s="25"/>
      <c r="E705" s="25"/>
      <c r="F705" s="25"/>
      <c r="G705" s="40"/>
      <c r="H705" s="41"/>
      <c r="I705" s="27"/>
      <c r="J705" s="27"/>
      <c r="K705" s="27"/>
      <c r="L705" s="27"/>
      <c r="M705" s="27"/>
      <c r="N705" s="42"/>
      <c r="O705" s="27"/>
      <c r="P705" s="27"/>
      <c r="Q705" s="27"/>
      <c r="R705" s="42"/>
      <c r="S705" s="27"/>
      <c r="T705" s="27"/>
    </row>
    <row r="706" spans="2:20" ht="15.6" x14ac:dyDescent="0.3">
      <c r="B706" s="54">
        <v>1</v>
      </c>
      <c r="C706" s="54" t="s">
        <v>993</v>
      </c>
      <c r="D706" s="31" t="s">
        <v>994</v>
      </c>
      <c r="E706" s="32">
        <v>45657</v>
      </c>
      <c r="F706" s="33">
        <v>75.599999999999994</v>
      </c>
      <c r="G706" s="34">
        <v>10</v>
      </c>
      <c r="H706" s="35">
        <f>+F706/G706</f>
        <v>7.56</v>
      </c>
      <c r="I706" s="33">
        <v>5546.125</v>
      </c>
      <c r="J706" s="33">
        <v>14878.242</v>
      </c>
      <c r="K706" s="33">
        <v>18332.460999999999</v>
      </c>
      <c r="L706" s="33">
        <v>669.62699999999995</v>
      </c>
      <c r="M706" s="33">
        <v>1384.3579999999999</v>
      </c>
      <c r="N706" s="35">
        <f>+M706-O706</f>
        <v>533.62799999999993</v>
      </c>
      <c r="O706" s="33">
        <v>850.73</v>
      </c>
      <c r="P706" s="36">
        <f>1300</f>
        <v>1300</v>
      </c>
      <c r="Q706" s="36">
        <v>0</v>
      </c>
      <c r="R706" s="37">
        <f>SUM(P706:Q706)</f>
        <v>1300</v>
      </c>
      <c r="S706" s="36"/>
      <c r="T706" s="38">
        <v>1316</v>
      </c>
    </row>
    <row r="707" spans="2:20" ht="15.6" x14ac:dyDescent="0.3">
      <c r="B707" s="54">
        <f>+B706+1</f>
        <v>2</v>
      </c>
      <c r="C707" s="54" t="s">
        <v>995</v>
      </c>
      <c r="D707" s="31" t="s">
        <v>996</v>
      </c>
      <c r="E707" s="32">
        <v>45473</v>
      </c>
      <c r="F707" s="33">
        <v>60</v>
      </c>
      <c r="G707" s="34">
        <v>10</v>
      </c>
      <c r="H707" s="35">
        <f>+F707/G707</f>
        <v>6</v>
      </c>
      <c r="I707" s="33">
        <v>20.253771</v>
      </c>
      <c r="J707" s="33">
        <v>28.465209000000002</v>
      </c>
      <c r="K707" s="33">
        <v>27.525255999999999</v>
      </c>
      <c r="L707" s="33">
        <v>0</v>
      </c>
      <c r="M707" s="33">
        <v>0.32168200000000002</v>
      </c>
      <c r="N707" s="35">
        <f>+M707-O707</f>
        <v>0</v>
      </c>
      <c r="O707" s="33">
        <v>0.32168200000000002</v>
      </c>
      <c r="P707" s="36">
        <v>0</v>
      </c>
      <c r="Q707" s="36">
        <v>0</v>
      </c>
      <c r="R707" s="37">
        <f>SUM(P707:Q707)</f>
        <v>0</v>
      </c>
      <c r="S707" s="36"/>
      <c r="T707" s="38">
        <v>1269</v>
      </c>
    </row>
    <row r="708" spans="2:20" ht="15.6" x14ac:dyDescent="0.3">
      <c r="B708" s="54">
        <f t="shared" ref="B708:B710" si="173">+B707+1</f>
        <v>3</v>
      </c>
      <c r="C708" s="54" t="s">
        <v>997</v>
      </c>
      <c r="D708" s="31" t="s">
        <v>998</v>
      </c>
      <c r="E708" s="32">
        <v>45473</v>
      </c>
      <c r="F708" s="33">
        <v>34</v>
      </c>
      <c r="G708" s="34">
        <v>10</v>
      </c>
      <c r="H708" s="35">
        <f>+F708/G708</f>
        <v>3.4</v>
      </c>
      <c r="I708" s="33">
        <v>-328.37679900000001</v>
      </c>
      <c r="J708" s="33">
        <v>99.558462000000006</v>
      </c>
      <c r="K708" s="33">
        <v>89.394744000000003</v>
      </c>
      <c r="L708" s="33">
        <v>0.78559999999999997</v>
      </c>
      <c r="M708" s="33">
        <v>10.93999</v>
      </c>
      <c r="N708" s="35">
        <f>+M708-O708</f>
        <v>2.8132699999999993</v>
      </c>
      <c r="O708" s="33">
        <v>8.1267200000000006</v>
      </c>
      <c r="P708" s="36">
        <v>0</v>
      </c>
      <c r="Q708" s="36">
        <v>0</v>
      </c>
      <c r="R708" s="37">
        <f>SUM(P708:Q708)</f>
        <v>0</v>
      </c>
      <c r="S708" s="36"/>
      <c r="T708" s="38">
        <v>504</v>
      </c>
    </row>
    <row r="709" spans="2:20" ht="15.6" x14ac:dyDescent="0.3">
      <c r="B709" s="54">
        <f t="shared" si="173"/>
        <v>4</v>
      </c>
      <c r="C709" s="54" t="s">
        <v>999</v>
      </c>
      <c r="D709" s="31" t="s">
        <v>1000</v>
      </c>
      <c r="E709" s="32">
        <v>45657</v>
      </c>
      <c r="F709" s="33">
        <v>2060.5639999999999</v>
      </c>
      <c r="G709" s="34">
        <v>10</v>
      </c>
      <c r="H709" s="35">
        <f>+F709/G709</f>
        <v>206.0564</v>
      </c>
      <c r="I709" s="33">
        <v>7210.915</v>
      </c>
      <c r="J709" s="33">
        <v>19204.996999999999</v>
      </c>
      <c r="K709" s="33">
        <v>17391.853999999999</v>
      </c>
      <c r="L709" s="33">
        <v>667.07799999999997</v>
      </c>
      <c r="M709" s="33">
        <v>1429.7170000000001</v>
      </c>
      <c r="N709" s="35">
        <f>+M709-O709</f>
        <v>324.48</v>
      </c>
      <c r="O709" s="33">
        <v>1105.2370000000001</v>
      </c>
      <c r="P709" s="36">
        <v>40</v>
      </c>
      <c r="Q709" s="36">
        <v>0</v>
      </c>
      <c r="R709" s="37">
        <f>SUM(P709:Q709)</f>
        <v>40</v>
      </c>
      <c r="S709" s="36"/>
      <c r="T709" s="38">
        <v>2428</v>
      </c>
    </row>
    <row r="710" spans="2:20" ht="15.6" x14ac:dyDescent="0.3">
      <c r="B710" s="54">
        <f t="shared" si="173"/>
        <v>5</v>
      </c>
      <c r="C710" s="54" t="s">
        <v>1001</v>
      </c>
      <c r="D710" s="31" t="s">
        <v>1002</v>
      </c>
      <c r="E710" s="32">
        <v>45657</v>
      </c>
      <c r="F710" s="33">
        <v>469.87400000000002</v>
      </c>
      <c r="G710" s="34">
        <v>10</v>
      </c>
      <c r="H710" s="35">
        <f>+F710/G710</f>
        <v>46.987400000000001</v>
      </c>
      <c r="I710" s="33">
        <v>8490.1810000000005</v>
      </c>
      <c r="J710" s="33">
        <v>22437.440999999999</v>
      </c>
      <c r="K710" s="33">
        <v>16636.187000000002</v>
      </c>
      <c r="L710" s="33">
        <v>2171.578</v>
      </c>
      <c r="M710" s="33">
        <v>643.78800000000001</v>
      </c>
      <c r="N710" s="35">
        <f>+M710-O710</f>
        <v>319.36700000000002</v>
      </c>
      <c r="O710" s="33">
        <v>324.42099999999999</v>
      </c>
      <c r="P710" s="36">
        <v>150</v>
      </c>
      <c r="Q710" s="36">
        <v>0</v>
      </c>
      <c r="R710" s="37">
        <f>SUM(P710:Q710)</f>
        <v>150</v>
      </c>
      <c r="S710" s="36"/>
      <c r="T710" s="38">
        <v>1710</v>
      </c>
    </row>
    <row r="711" spans="2:20" ht="15.6" x14ac:dyDescent="0.3">
      <c r="B711" s="25"/>
      <c r="C711" s="25"/>
      <c r="D711" s="25"/>
      <c r="E711" s="25"/>
      <c r="F711" s="25"/>
      <c r="G711" s="40"/>
      <c r="H711" s="41"/>
      <c r="I711" s="27"/>
      <c r="J711" s="27"/>
      <c r="K711" s="27"/>
      <c r="L711" s="27"/>
      <c r="M711" s="27"/>
      <c r="N711" s="42"/>
      <c r="O711" s="27"/>
      <c r="P711" s="27"/>
      <c r="Q711" s="27"/>
      <c r="R711" s="42"/>
      <c r="S711" s="27"/>
      <c r="T711" s="27"/>
    </row>
    <row r="712" spans="2:20" ht="18" x14ac:dyDescent="0.35">
      <c r="B712" s="25"/>
      <c r="C712" s="25"/>
      <c r="D712" s="53" t="s">
        <v>1127</v>
      </c>
      <c r="E712" s="25"/>
      <c r="F712" s="25"/>
      <c r="G712" s="40"/>
      <c r="H712" s="41"/>
      <c r="I712" s="27"/>
      <c r="J712" s="27"/>
      <c r="K712" s="27"/>
      <c r="L712" s="27"/>
      <c r="M712" s="27"/>
      <c r="N712" s="42"/>
      <c r="O712" s="27"/>
      <c r="P712" s="27"/>
      <c r="Q712" s="27"/>
      <c r="R712" s="42"/>
      <c r="S712" s="27"/>
      <c r="T712" s="27"/>
    </row>
    <row r="713" spans="2:20" ht="15.6" x14ac:dyDescent="0.3">
      <c r="B713" s="54">
        <v>1</v>
      </c>
      <c r="C713" s="54" t="s">
        <v>1003</v>
      </c>
      <c r="D713" s="31" t="s">
        <v>1004</v>
      </c>
      <c r="E713" s="32">
        <v>45473</v>
      </c>
      <c r="F713" s="33">
        <v>20</v>
      </c>
      <c r="G713" s="34">
        <v>10</v>
      </c>
      <c r="H713" s="35">
        <f>+F713/G713</f>
        <v>2</v>
      </c>
      <c r="I713" s="33">
        <v>-90.720578000000003</v>
      </c>
      <c r="J713" s="33">
        <v>67.101141999999996</v>
      </c>
      <c r="K713" s="33">
        <v>13.659272</v>
      </c>
      <c r="L713" s="33">
        <v>6.2570000000000004E-3</v>
      </c>
      <c r="M713" s="33">
        <v>-1.4083380000000001</v>
      </c>
      <c r="N713" s="35">
        <f>+M713-O713</f>
        <v>0.52365299999999992</v>
      </c>
      <c r="O713" s="33">
        <v>-1.931991</v>
      </c>
      <c r="P713" s="36">
        <v>0</v>
      </c>
      <c r="Q713" s="36">
        <v>0</v>
      </c>
      <c r="R713" s="37">
        <f>SUM(P713:Q713)</f>
        <v>0</v>
      </c>
      <c r="S713" s="36"/>
      <c r="T713" s="38">
        <v>123</v>
      </c>
    </row>
    <row r="714" spans="2:20" ht="15.6" x14ac:dyDescent="0.3">
      <c r="B714" s="25"/>
      <c r="C714" s="25"/>
      <c r="D714" s="25"/>
      <c r="E714" s="25"/>
      <c r="F714" s="25"/>
      <c r="G714" s="40"/>
      <c r="H714" s="41"/>
      <c r="I714" s="27"/>
      <c r="J714" s="27"/>
      <c r="K714" s="27"/>
      <c r="L714" s="27"/>
      <c r="M714" s="27"/>
      <c r="N714" s="42"/>
      <c r="O714" s="27"/>
      <c r="P714" s="27"/>
      <c r="Q714" s="27"/>
      <c r="R714" s="42"/>
      <c r="S714" s="27"/>
      <c r="T714" s="27"/>
    </row>
    <row r="715" spans="2:20" ht="15.6" x14ac:dyDescent="0.3">
      <c r="B715" s="44">
        <f>COUNT(B706:B714)</f>
        <v>6</v>
      </c>
      <c r="C715" s="44"/>
      <c r="D715" s="45"/>
      <c r="E715" s="45"/>
      <c r="F715" s="45">
        <f>SUM(F706:F714)</f>
        <v>2720.0379999999996</v>
      </c>
      <c r="G715" s="46"/>
      <c r="H715" s="47">
        <f t="shared" ref="H715:O715" si="174">SUM(H706:H714)</f>
        <v>272.00380000000001</v>
      </c>
      <c r="I715" s="45">
        <f t="shared" si="174"/>
        <v>20848.377393999999</v>
      </c>
      <c r="J715" s="45">
        <f t="shared" si="174"/>
        <v>56715.804813000002</v>
      </c>
      <c r="K715" s="45">
        <f t="shared" si="174"/>
        <v>52491.081272000003</v>
      </c>
      <c r="L715" s="45">
        <f t="shared" si="174"/>
        <v>3509.0748570000001</v>
      </c>
      <c r="M715" s="45">
        <f t="shared" si="174"/>
        <v>3467.7163340000002</v>
      </c>
      <c r="N715" s="48">
        <f t="shared" si="174"/>
        <v>1180.811923</v>
      </c>
      <c r="O715" s="45">
        <f t="shared" si="174"/>
        <v>2286.904411</v>
      </c>
      <c r="P715" s="49"/>
      <c r="Q715" s="49"/>
      <c r="R715" s="50"/>
      <c r="S715" s="49"/>
      <c r="T715" s="51">
        <f>SUM(T706:T714)</f>
        <v>7350</v>
      </c>
    </row>
    <row r="716" spans="2:20" ht="15.6" x14ac:dyDescent="0.3">
      <c r="B716" s="25"/>
      <c r="C716" s="25"/>
      <c r="D716" s="25"/>
      <c r="E716" s="25"/>
      <c r="F716" s="25"/>
      <c r="G716" s="40"/>
      <c r="H716" s="41"/>
      <c r="I716" s="27"/>
      <c r="J716" s="27"/>
      <c r="K716" s="27"/>
      <c r="L716" s="27"/>
      <c r="M716" s="27"/>
      <c r="N716" s="42"/>
      <c r="O716" s="27"/>
      <c r="P716" s="27"/>
      <c r="Q716" s="27"/>
      <c r="R716" s="42"/>
      <c r="S716" s="27"/>
      <c r="T716" s="27"/>
    </row>
    <row r="717" spans="2:20" ht="15.6" x14ac:dyDescent="0.3">
      <c r="B717" s="25"/>
      <c r="C717" s="25"/>
      <c r="D717" s="25"/>
      <c r="E717" s="25"/>
      <c r="F717" s="25"/>
      <c r="G717" s="40"/>
      <c r="H717" s="41"/>
      <c r="I717" s="27"/>
      <c r="J717" s="27"/>
      <c r="K717" s="27"/>
      <c r="L717" s="27"/>
      <c r="M717" s="27"/>
      <c r="N717" s="42"/>
      <c r="O717" s="27"/>
      <c r="P717" s="27"/>
      <c r="Q717" s="27"/>
      <c r="R717" s="42"/>
      <c r="S717" s="27"/>
      <c r="T717" s="27"/>
    </row>
    <row r="718" spans="2:20" ht="18" x14ac:dyDescent="0.35">
      <c r="B718" s="25"/>
      <c r="C718" s="29">
        <v>34</v>
      </c>
      <c r="D718" s="29" t="s">
        <v>1005</v>
      </c>
      <c r="E718" s="55"/>
      <c r="F718" s="55"/>
      <c r="G718" s="40"/>
      <c r="H718" s="41"/>
      <c r="I718" s="27"/>
      <c r="J718" s="27"/>
      <c r="K718" s="27"/>
      <c r="L718" s="27"/>
      <c r="M718" s="27"/>
      <c r="N718" s="42"/>
      <c r="O718" s="27"/>
      <c r="P718" s="27"/>
      <c r="Q718" s="27"/>
      <c r="R718" s="42"/>
      <c r="S718" s="27"/>
      <c r="T718" s="27"/>
    </row>
    <row r="719" spans="2:20" ht="15.6" x14ac:dyDescent="0.3">
      <c r="B719" s="25"/>
      <c r="C719" s="25"/>
      <c r="D719" s="25"/>
      <c r="E719" s="25"/>
      <c r="F719" s="25"/>
      <c r="G719" s="40"/>
      <c r="H719" s="41"/>
      <c r="I719" s="27"/>
      <c r="J719" s="27"/>
      <c r="K719" s="27"/>
      <c r="L719" s="27"/>
      <c r="M719" s="27"/>
      <c r="N719" s="42"/>
      <c r="O719" s="27"/>
      <c r="P719" s="27"/>
      <c r="Q719" s="27"/>
      <c r="R719" s="42"/>
      <c r="S719" s="27"/>
      <c r="T719" s="27"/>
    </row>
    <row r="720" spans="2:20" ht="15.6" x14ac:dyDescent="0.3">
      <c r="B720" s="30">
        <v>1</v>
      </c>
      <c r="C720" s="30" t="s">
        <v>1006</v>
      </c>
      <c r="D720" s="31" t="s">
        <v>1007</v>
      </c>
      <c r="E720" s="32">
        <v>45473</v>
      </c>
      <c r="F720" s="33">
        <v>2989.0578599999999</v>
      </c>
      <c r="G720" s="34">
        <v>10</v>
      </c>
      <c r="H720" s="35">
        <f t="shared" ref="H720" si="175">+F720/G720</f>
        <v>298.90578599999998</v>
      </c>
      <c r="I720" s="33">
        <v>5341.352414</v>
      </c>
      <c r="J720" s="33">
        <v>10337.035615000001</v>
      </c>
      <c r="K720" s="33">
        <v>7209.8679099999999</v>
      </c>
      <c r="L720" s="33">
        <v>344.14648999999997</v>
      </c>
      <c r="M720" s="33">
        <v>841.59727699999996</v>
      </c>
      <c r="N720" s="35">
        <f t="shared" ref="N720" si="176">+M720-O720</f>
        <v>3.3885379999999259</v>
      </c>
      <c r="O720" s="33">
        <v>838.20873900000004</v>
      </c>
      <c r="P720" s="36">
        <v>0</v>
      </c>
      <c r="Q720" s="36">
        <v>0</v>
      </c>
      <c r="R720" s="37">
        <f t="shared" ref="R720" si="177">SUM(P720:Q720)</f>
        <v>0</v>
      </c>
      <c r="S720" s="36"/>
      <c r="T720" s="38">
        <v>7</v>
      </c>
    </row>
    <row r="721" spans="2:20" ht="15.6" x14ac:dyDescent="0.3">
      <c r="B721" s="30">
        <f t="shared" ref="B721:B743" si="178">+B720+1</f>
        <v>2</v>
      </c>
      <c r="C721" s="54" t="s">
        <v>1008</v>
      </c>
      <c r="D721" s="43" t="s">
        <v>1009</v>
      </c>
      <c r="E721" s="32">
        <v>45473</v>
      </c>
      <c r="F721" s="33">
        <v>668.05269999999996</v>
      </c>
      <c r="G721" s="34">
        <v>10</v>
      </c>
      <c r="H721" s="35">
        <f>+F721/G721</f>
        <v>66.805269999999993</v>
      </c>
      <c r="I721" s="33">
        <v>1826.192254</v>
      </c>
      <c r="J721" s="33">
        <v>4142.1437960000003</v>
      </c>
      <c r="K721" s="33">
        <v>7009.2677739999999</v>
      </c>
      <c r="L721" s="33">
        <v>271.85014200000001</v>
      </c>
      <c r="M721" s="33">
        <v>-92.730497999999997</v>
      </c>
      <c r="N721" s="35">
        <f>+M721-O721</f>
        <v>15.398769000000001</v>
      </c>
      <c r="O721" s="33">
        <v>-108.129267</v>
      </c>
      <c r="P721" s="36">
        <v>0</v>
      </c>
      <c r="Q721" s="36">
        <v>0</v>
      </c>
      <c r="R721" s="37">
        <f>SUM(P721:Q721)</f>
        <v>0</v>
      </c>
      <c r="S721" s="36"/>
      <c r="T721" s="38">
        <v>2879</v>
      </c>
    </row>
    <row r="722" spans="2:20" ht="15.6" x14ac:dyDescent="0.3">
      <c r="B722" s="30">
        <f t="shared" si="178"/>
        <v>3</v>
      </c>
      <c r="C722" s="30" t="s">
        <v>1010</v>
      </c>
      <c r="D722" s="31" t="s">
        <v>1011</v>
      </c>
      <c r="E722" s="32">
        <v>45473</v>
      </c>
      <c r="F722" s="33">
        <v>311.43059</v>
      </c>
      <c r="G722" s="34">
        <v>10</v>
      </c>
      <c r="H722" s="35">
        <f t="shared" ref="H722:H743" si="179">+F722/G722</f>
        <v>31.143059000000001</v>
      </c>
      <c r="I722" s="33">
        <v>278.51299999999998</v>
      </c>
      <c r="J722" s="33">
        <v>328.43700000000001</v>
      </c>
      <c r="K722" s="33">
        <v>1812.3019999999999</v>
      </c>
      <c r="L722" s="33">
        <v>5.0000000000000001E-3</v>
      </c>
      <c r="M722" s="33">
        <v>185.67500000000001</v>
      </c>
      <c r="N722" s="35">
        <f t="shared" ref="N722:N743" si="180">+M722-O722</f>
        <v>-6.650999999999982</v>
      </c>
      <c r="O722" s="33">
        <v>192.32599999999999</v>
      </c>
      <c r="P722" s="36">
        <v>0</v>
      </c>
      <c r="Q722" s="36">
        <v>0</v>
      </c>
      <c r="R722" s="37">
        <f t="shared" ref="R722:R743" si="181">SUM(P722:Q722)</f>
        <v>0</v>
      </c>
      <c r="S722" s="36"/>
      <c r="T722" s="38">
        <v>2287</v>
      </c>
    </row>
    <row r="723" spans="2:20" ht="15.6" x14ac:dyDescent="0.3">
      <c r="B723" s="30">
        <f t="shared" si="178"/>
        <v>4</v>
      </c>
      <c r="C723" s="54" t="s">
        <v>1012</v>
      </c>
      <c r="D723" s="31" t="s">
        <v>1013</v>
      </c>
      <c r="E723" s="32">
        <v>45473</v>
      </c>
      <c r="F723" s="33">
        <v>2427.73288</v>
      </c>
      <c r="G723" s="34">
        <v>10</v>
      </c>
      <c r="H723" s="35">
        <f>+F723/G723</f>
        <v>242.77328800000001</v>
      </c>
      <c r="I723" s="33">
        <v>34889.910000000003</v>
      </c>
      <c r="J723" s="33">
        <v>56661.966</v>
      </c>
      <c r="K723" s="33">
        <v>113230.777</v>
      </c>
      <c r="L723" s="33">
        <v>165.476</v>
      </c>
      <c r="M723" s="33">
        <v>26718.534</v>
      </c>
      <c r="N723" s="35">
        <f>+M723-O723</f>
        <v>9426.3040000000001</v>
      </c>
      <c r="O723" s="33">
        <v>17292.23</v>
      </c>
      <c r="P723" s="36">
        <f>225+345</f>
        <v>570</v>
      </c>
      <c r="Q723" s="36">
        <v>0</v>
      </c>
      <c r="R723" s="37">
        <f>SUM(P723:Q723)</f>
        <v>570</v>
      </c>
      <c r="S723" s="36"/>
      <c r="T723" s="38">
        <v>4518</v>
      </c>
    </row>
    <row r="724" spans="2:20" ht="15.6" x14ac:dyDescent="0.3">
      <c r="B724" s="30">
        <f t="shared" si="178"/>
        <v>5</v>
      </c>
      <c r="C724" s="30" t="s">
        <v>1014</v>
      </c>
      <c r="D724" s="31" t="s">
        <v>1015</v>
      </c>
      <c r="E724" s="32">
        <v>45657</v>
      </c>
      <c r="F724" s="33">
        <v>7665.9607500000002</v>
      </c>
      <c r="G724" s="34">
        <v>10</v>
      </c>
      <c r="H724" s="35">
        <f t="shared" si="179"/>
        <v>766.59607500000004</v>
      </c>
      <c r="I724" s="33">
        <v>16457.844000000001</v>
      </c>
      <c r="J724" s="33">
        <v>41675.271000000001</v>
      </c>
      <c r="K724" s="33">
        <v>107051.45</v>
      </c>
      <c r="L724" s="33">
        <v>3259.4140000000002</v>
      </c>
      <c r="M724" s="33">
        <v>3575.4140000000002</v>
      </c>
      <c r="N724" s="35">
        <f t="shared" si="180"/>
        <v>1372.2860000000001</v>
      </c>
      <c r="O724" s="33">
        <v>2203.1280000000002</v>
      </c>
      <c r="P724" s="36">
        <v>28</v>
      </c>
      <c r="Q724" s="36">
        <v>0</v>
      </c>
      <c r="R724" s="37">
        <f t="shared" si="181"/>
        <v>28</v>
      </c>
      <c r="S724" s="36"/>
      <c r="T724" s="38">
        <v>7901</v>
      </c>
    </row>
    <row r="725" spans="2:20" ht="15.6" x14ac:dyDescent="0.3">
      <c r="B725" s="30">
        <f t="shared" si="178"/>
        <v>6</v>
      </c>
      <c r="C725" s="30" t="s">
        <v>1016</v>
      </c>
      <c r="D725" s="31" t="s">
        <v>1017</v>
      </c>
      <c r="E725" s="32">
        <v>45657</v>
      </c>
      <c r="F725" s="33">
        <v>25199.631389999999</v>
      </c>
      <c r="G725" s="34">
        <v>10</v>
      </c>
      <c r="H725" s="35">
        <f t="shared" si="179"/>
        <v>2519.963139</v>
      </c>
      <c r="I725" s="33">
        <v>9575.5944959999997</v>
      </c>
      <c r="J725" s="33">
        <v>18562.872108</v>
      </c>
      <c r="K725" s="33">
        <v>23401.680284999999</v>
      </c>
      <c r="L725" s="33">
        <v>34.934928999999997</v>
      </c>
      <c r="M725" s="33">
        <v>1129.7426820000001</v>
      </c>
      <c r="N725" s="35">
        <f t="shared" si="180"/>
        <v>412.60586600000011</v>
      </c>
      <c r="O725" s="33">
        <v>717.13681599999995</v>
      </c>
      <c r="P725" s="36">
        <v>0</v>
      </c>
      <c r="Q725" s="36">
        <v>0</v>
      </c>
      <c r="R725" s="37">
        <f t="shared" si="181"/>
        <v>0</v>
      </c>
      <c r="S725" s="36"/>
      <c r="T725" s="38">
        <v>15849</v>
      </c>
    </row>
    <row r="726" spans="2:20" ht="15.6" x14ac:dyDescent="0.3">
      <c r="B726" s="30">
        <f t="shared" si="178"/>
        <v>7</v>
      </c>
      <c r="C726" s="30" t="s">
        <v>1018</v>
      </c>
      <c r="D726" s="31" t="s">
        <v>1019</v>
      </c>
      <c r="E726" s="32">
        <v>45473</v>
      </c>
      <c r="F726" s="33">
        <v>3</v>
      </c>
      <c r="G726" s="34">
        <v>10</v>
      </c>
      <c r="H726" s="35">
        <f t="shared" si="179"/>
        <v>0.3</v>
      </c>
      <c r="I726" s="33">
        <v>1007.509994</v>
      </c>
      <c r="J726" s="33">
        <v>1093.5352370000001</v>
      </c>
      <c r="K726" s="33">
        <v>2166.9533510000001</v>
      </c>
      <c r="L726" s="33">
        <v>1.7198000000000001E-2</v>
      </c>
      <c r="M726" s="33">
        <v>4.7084489999999999</v>
      </c>
      <c r="N726" s="35">
        <f t="shared" si="180"/>
        <v>1.4447950000000001</v>
      </c>
      <c r="O726" s="33">
        <v>3.2636539999999998</v>
      </c>
      <c r="P726" s="36">
        <v>30</v>
      </c>
      <c r="Q726" s="36">
        <v>0</v>
      </c>
      <c r="R726" s="37">
        <f t="shared" si="181"/>
        <v>30</v>
      </c>
      <c r="S726" s="36"/>
      <c r="T726" s="38">
        <v>79</v>
      </c>
    </row>
    <row r="727" spans="2:20" ht="15.6" x14ac:dyDescent="0.3">
      <c r="B727" s="30">
        <f t="shared" si="178"/>
        <v>8</v>
      </c>
      <c r="C727" s="54" t="s">
        <v>1020</v>
      </c>
      <c r="D727" s="31" t="s">
        <v>1021</v>
      </c>
      <c r="E727" s="32">
        <v>45473</v>
      </c>
      <c r="F727" s="33">
        <v>318.72000000000003</v>
      </c>
      <c r="G727" s="34">
        <v>10</v>
      </c>
      <c r="H727" s="35">
        <f t="shared" si="179"/>
        <v>31.872000000000003</v>
      </c>
      <c r="I727" s="33">
        <v>1118.99</v>
      </c>
      <c r="J727" s="33">
        <v>2880.4070000000002</v>
      </c>
      <c r="K727" s="33">
        <v>1502.01</v>
      </c>
      <c r="L727" s="33">
        <v>1.837</v>
      </c>
      <c r="M727" s="33">
        <v>86.281999999999996</v>
      </c>
      <c r="N727" s="35">
        <f t="shared" si="180"/>
        <v>-15.701999999999998</v>
      </c>
      <c r="O727" s="33">
        <v>101.98399999999999</v>
      </c>
      <c r="P727" s="36">
        <v>0</v>
      </c>
      <c r="Q727" s="36">
        <v>0</v>
      </c>
      <c r="R727" s="37">
        <f t="shared" si="181"/>
        <v>0</v>
      </c>
      <c r="S727" s="36"/>
      <c r="T727" s="38">
        <v>1003</v>
      </c>
    </row>
    <row r="728" spans="2:20" ht="15.6" x14ac:dyDescent="0.3">
      <c r="B728" s="30">
        <f t="shared" si="178"/>
        <v>9</v>
      </c>
      <c r="C728" s="30" t="s">
        <v>1022</v>
      </c>
      <c r="D728" s="31" t="s">
        <v>1023</v>
      </c>
      <c r="E728" s="32">
        <v>45473</v>
      </c>
      <c r="F728" s="33">
        <v>663.56939999999997</v>
      </c>
      <c r="G728" s="34">
        <v>10</v>
      </c>
      <c r="H728" s="35">
        <f t="shared" si="179"/>
        <v>66.356939999999994</v>
      </c>
      <c r="I728" s="33">
        <v>24208.886330000001</v>
      </c>
      <c r="J728" s="33">
        <v>90916.664206000001</v>
      </c>
      <c r="K728" s="33">
        <v>108887.02439000001</v>
      </c>
      <c r="L728" s="33">
        <v>7384.1154729999998</v>
      </c>
      <c r="M728" s="33">
        <v>7676.4605540000002</v>
      </c>
      <c r="N728" s="35">
        <f t="shared" si="180"/>
        <v>1544.4110270000001</v>
      </c>
      <c r="O728" s="33">
        <v>6132.0495270000001</v>
      </c>
      <c r="P728" s="36">
        <v>100</v>
      </c>
      <c r="Q728" s="36">
        <v>0</v>
      </c>
      <c r="R728" s="37">
        <f t="shared" si="181"/>
        <v>100</v>
      </c>
      <c r="S728" s="36"/>
      <c r="T728" s="38">
        <v>1588</v>
      </c>
    </row>
    <row r="729" spans="2:20" ht="15.6" x14ac:dyDescent="0.3">
      <c r="B729" s="30">
        <f t="shared" si="178"/>
        <v>10</v>
      </c>
      <c r="C729" s="30" t="s">
        <v>1024</v>
      </c>
      <c r="D729" s="31" t="s">
        <v>1025</v>
      </c>
      <c r="E729" s="32">
        <v>45473</v>
      </c>
      <c r="F729" s="33">
        <v>228.75</v>
      </c>
      <c r="G729" s="34">
        <v>10</v>
      </c>
      <c r="H729" s="35">
        <f t="shared" si="179"/>
        <v>22.875</v>
      </c>
      <c r="I729" s="33">
        <v>592.65940599999999</v>
      </c>
      <c r="J729" s="33">
        <v>1711.647475</v>
      </c>
      <c r="K729" s="33">
        <v>2642.1638109999999</v>
      </c>
      <c r="L729" s="33">
        <v>96.186801000000003</v>
      </c>
      <c r="M729" s="33">
        <v>459.23569900000001</v>
      </c>
      <c r="N729" s="35">
        <f t="shared" si="180"/>
        <v>2.9934830000000261</v>
      </c>
      <c r="O729" s="33">
        <v>456.24221599999998</v>
      </c>
      <c r="P729" s="36">
        <v>0</v>
      </c>
      <c r="Q729" s="36">
        <v>0</v>
      </c>
      <c r="R729" s="37">
        <f t="shared" si="181"/>
        <v>0</v>
      </c>
      <c r="S729" s="36"/>
      <c r="T729" s="38">
        <v>1833</v>
      </c>
    </row>
    <row r="730" spans="2:20" ht="15.6" x14ac:dyDescent="0.3">
      <c r="B730" s="30">
        <f t="shared" si="178"/>
        <v>11</v>
      </c>
      <c r="C730" s="30" t="s">
        <v>1026</v>
      </c>
      <c r="D730" s="31" t="s">
        <v>1027</v>
      </c>
      <c r="E730" s="32">
        <v>45565</v>
      </c>
      <c r="F730" s="33">
        <v>1224.0069800000001</v>
      </c>
      <c r="G730" s="34">
        <v>10</v>
      </c>
      <c r="H730" s="35">
        <f t="shared" si="179"/>
        <v>122.40069800000001</v>
      </c>
      <c r="I730" s="33">
        <v>9987.6218599999993</v>
      </c>
      <c r="J730" s="33">
        <v>27539.074997</v>
      </c>
      <c r="K730" s="33">
        <v>27695.667805000001</v>
      </c>
      <c r="L730" s="33">
        <v>2243.8770300000001</v>
      </c>
      <c r="M730" s="33">
        <v>-68.314773000000002</v>
      </c>
      <c r="N730" s="35">
        <f t="shared" si="180"/>
        <v>194.15110299999998</v>
      </c>
      <c r="O730" s="33">
        <v>-262.46587599999998</v>
      </c>
      <c r="P730" s="36">
        <v>0</v>
      </c>
      <c r="Q730" s="36">
        <v>0</v>
      </c>
      <c r="R730" s="37">
        <f t="shared" si="181"/>
        <v>0</v>
      </c>
      <c r="S730" s="36"/>
      <c r="T730" s="38">
        <v>1960</v>
      </c>
    </row>
    <row r="731" spans="2:20" ht="15.6" x14ac:dyDescent="0.3">
      <c r="B731" s="30">
        <f t="shared" si="178"/>
        <v>12</v>
      </c>
      <c r="C731" s="54" t="s">
        <v>1028</v>
      </c>
      <c r="D731" s="31" t="s">
        <v>1029</v>
      </c>
      <c r="E731" s="32">
        <v>45473</v>
      </c>
      <c r="F731" s="33">
        <f>27.663631*G731</f>
        <v>276.63630999999998</v>
      </c>
      <c r="G731" s="34">
        <v>10</v>
      </c>
      <c r="H731" s="35">
        <f t="shared" si="179"/>
        <v>27.663630999999999</v>
      </c>
      <c r="I731" s="33">
        <v>15131.257</v>
      </c>
      <c r="J731" s="33">
        <v>19829.763999999999</v>
      </c>
      <c r="K731" s="33">
        <v>23798.243999999999</v>
      </c>
      <c r="L731" s="33">
        <v>9.89</v>
      </c>
      <c r="M731" s="33">
        <v>4070.201</v>
      </c>
      <c r="N731" s="35">
        <f t="shared" si="180"/>
        <v>1448.846</v>
      </c>
      <c r="O731" s="33">
        <v>2621.355</v>
      </c>
      <c r="P731" s="36">
        <f>75+80+100+150</f>
        <v>405</v>
      </c>
      <c r="Q731" s="36">
        <v>0</v>
      </c>
      <c r="R731" s="37">
        <f t="shared" si="181"/>
        <v>405</v>
      </c>
      <c r="S731" s="36"/>
      <c r="T731" s="38">
        <v>1307</v>
      </c>
    </row>
    <row r="732" spans="2:20" ht="15.6" x14ac:dyDescent="0.3">
      <c r="B732" s="30">
        <f t="shared" si="178"/>
        <v>13</v>
      </c>
      <c r="C732" s="30" t="s">
        <v>1030</v>
      </c>
      <c r="D732" s="31" t="s">
        <v>1031</v>
      </c>
      <c r="E732" s="32">
        <v>45473</v>
      </c>
      <c r="F732" s="33">
        <v>1165.5762500000001</v>
      </c>
      <c r="G732" s="34">
        <v>5</v>
      </c>
      <c r="H732" s="35">
        <f t="shared" si="179"/>
        <v>233.11525</v>
      </c>
      <c r="I732" s="33">
        <v>7593.8710000000001</v>
      </c>
      <c r="J732" s="33">
        <v>27146.77</v>
      </c>
      <c r="K732" s="33">
        <v>37377.245000000003</v>
      </c>
      <c r="L732" s="33">
        <v>1567.732</v>
      </c>
      <c r="M732" s="33">
        <v>1127.47</v>
      </c>
      <c r="N732" s="35">
        <f t="shared" si="180"/>
        <v>-141.09799999999996</v>
      </c>
      <c r="O732" s="33">
        <v>1268.568</v>
      </c>
      <c r="P732" s="36">
        <f>30+100</f>
        <v>130</v>
      </c>
      <c r="Q732" s="36">
        <v>0</v>
      </c>
      <c r="R732" s="37">
        <f t="shared" si="181"/>
        <v>130</v>
      </c>
      <c r="S732" s="36"/>
      <c r="T732" s="38">
        <v>3737</v>
      </c>
    </row>
    <row r="733" spans="2:20" ht="15.6" x14ac:dyDescent="0.3">
      <c r="B733" s="30">
        <f t="shared" si="178"/>
        <v>14</v>
      </c>
      <c r="C733" s="30" t="s">
        <v>1032</v>
      </c>
      <c r="D733" s="31" t="s">
        <v>1033</v>
      </c>
      <c r="E733" s="32">
        <v>45657</v>
      </c>
      <c r="F733" s="33">
        <v>453.49551000000002</v>
      </c>
      <c r="G733" s="34">
        <v>10</v>
      </c>
      <c r="H733" s="35">
        <f t="shared" si="179"/>
        <v>45.349551000000005</v>
      </c>
      <c r="I733" s="33">
        <v>18583.038</v>
      </c>
      <c r="J733" s="33">
        <v>83628.866999999998</v>
      </c>
      <c r="K733" s="33">
        <v>193205.75599999999</v>
      </c>
      <c r="L733" s="33">
        <v>2589.4989999999998</v>
      </c>
      <c r="M733" s="33">
        <v>25280.246999999999</v>
      </c>
      <c r="N733" s="35">
        <f t="shared" si="180"/>
        <v>10472.276</v>
      </c>
      <c r="O733" s="33">
        <v>14807.971</v>
      </c>
      <c r="P733" s="36">
        <f>1110+250+300</f>
        <v>1660</v>
      </c>
      <c r="Q733" s="36">
        <v>0</v>
      </c>
      <c r="R733" s="37">
        <f t="shared" si="181"/>
        <v>1660</v>
      </c>
      <c r="S733" s="36"/>
      <c r="T733" s="38">
        <v>1442</v>
      </c>
    </row>
    <row r="734" spans="2:20" ht="15.6" x14ac:dyDescent="0.3">
      <c r="B734" s="30">
        <f t="shared" si="178"/>
        <v>15</v>
      </c>
      <c r="C734" s="30" t="s">
        <v>1034</v>
      </c>
      <c r="D734" s="31" t="s">
        <v>1035</v>
      </c>
      <c r="E734" s="32">
        <v>45473</v>
      </c>
      <c r="F734" s="33">
        <v>2186.3942999999999</v>
      </c>
      <c r="G734" s="34">
        <v>10</v>
      </c>
      <c r="H734" s="35">
        <f t="shared" si="179"/>
        <v>218.63943</v>
      </c>
      <c r="I734" s="33">
        <v>5174.4840000000004</v>
      </c>
      <c r="J734" s="33">
        <v>7605.9030000000002</v>
      </c>
      <c r="K734" s="33">
        <v>10562.441999999999</v>
      </c>
      <c r="L734" s="33">
        <v>282.54000000000002</v>
      </c>
      <c r="M734" s="33">
        <v>481.24099999999999</v>
      </c>
      <c r="N734" s="35">
        <f t="shared" si="180"/>
        <v>128.00799999999998</v>
      </c>
      <c r="O734" s="33">
        <v>353.233</v>
      </c>
      <c r="P734" s="36">
        <v>0</v>
      </c>
      <c r="Q734" s="36">
        <v>0</v>
      </c>
      <c r="R734" s="37">
        <f t="shared" si="181"/>
        <v>0</v>
      </c>
      <c r="S734" s="36"/>
      <c r="T734" s="38">
        <v>2380</v>
      </c>
    </row>
    <row r="735" spans="2:20" ht="15.6" x14ac:dyDescent="0.3">
      <c r="B735" s="30">
        <f t="shared" si="178"/>
        <v>16</v>
      </c>
      <c r="C735" s="30" t="s">
        <v>1036</v>
      </c>
      <c r="D735" s="31" t="s">
        <v>1037</v>
      </c>
      <c r="E735" s="32">
        <v>45473</v>
      </c>
      <c r="F735" s="33">
        <v>984.61828000000003</v>
      </c>
      <c r="G735" s="34">
        <v>10</v>
      </c>
      <c r="H735" s="35">
        <f t="shared" si="179"/>
        <v>98.461827999999997</v>
      </c>
      <c r="I735" s="33">
        <v>446.71380299999998</v>
      </c>
      <c r="J735" s="33">
        <v>1274.1881519999999</v>
      </c>
      <c r="K735" s="33">
        <v>903.25493500000005</v>
      </c>
      <c r="L735" s="33">
        <v>0.128223</v>
      </c>
      <c r="M735" s="33">
        <v>-27.144988000000001</v>
      </c>
      <c r="N735" s="35">
        <f t="shared" si="180"/>
        <v>0</v>
      </c>
      <c r="O735" s="33">
        <v>-27.144988000000001</v>
      </c>
      <c r="P735" s="36">
        <v>0</v>
      </c>
      <c r="Q735" s="36">
        <v>0</v>
      </c>
      <c r="R735" s="37">
        <f t="shared" si="181"/>
        <v>0</v>
      </c>
      <c r="S735" s="36"/>
      <c r="T735" s="38">
        <v>4278</v>
      </c>
    </row>
    <row r="736" spans="2:20" ht="15.6" x14ac:dyDescent="0.3">
      <c r="B736" s="30">
        <f t="shared" si="178"/>
        <v>17</v>
      </c>
      <c r="C736" s="30" t="s">
        <v>1038</v>
      </c>
      <c r="D736" s="31" t="s">
        <v>1039</v>
      </c>
      <c r="E736" s="32">
        <v>45657</v>
      </c>
      <c r="F736" s="33">
        <v>92.364000000000004</v>
      </c>
      <c r="G736" s="34">
        <v>10</v>
      </c>
      <c r="H736" s="35">
        <f t="shared" si="179"/>
        <v>9.2363999999999997</v>
      </c>
      <c r="I736" s="33">
        <v>26897.239000000001</v>
      </c>
      <c r="J736" s="33">
        <f>10343.164+41534.947</f>
        <v>51878.111000000004</v>
      </c>
      <c r="K736" s="33">
        <v>69922.596000000005</v>
      </c>
      <c r="L736" s="33">
        <v>773.48699999999997</v>
      </c>
      <c r="M736" s="33">
        <v>11866.079</v>
      </c>
      <c r="N736" s="35">
        <f t="shared" si="180"/>
        <v>4390.9659999999994</v>
      </c>
      <c r="O736" s="33">
        <v>7475.1130000000003</v>
      </c>
      <c r="P736" s="36">
        <f>750+1000+1000+1000</f>
        <v>3750</v>
      </c>
      <c r="Q736" s="36">
        <v>0</v>
      </c>
      <c r="R736" s="37">
        <f t="shared" si="181"/>
        <v>3750</v>
      </c>
      <c r="S736" s="36"/>
      <c r="T736" s="38">
        <v>1158</v>
      </c>
    </row>
    <row r="737" spans="2:20" ht="15.6" x14ac:dyDescent="0.3">
      <c r="B737" s="30">
        <f t="shared" si="178"/>
        <v>18</v>
      </c>
      <c r="C737" s="54" t="s">
        <v>1040</v>
      </c>
      <c r="D737" s="31" t="s">
        <v>1041</v>
      </c>
      <c r="E737" s="32">
        <v>45473</v>
      </c>
      <c r="F737" s="33">
        <v>39</v>
      </c>
      <c r="G737" s="34">
        <v>10</v>
      </c>
      <c r="H737" s="35">
        <f t="shared" si="179"/>
        <v>3.9</v>
      </c>
      <c r="I737" s="33">
        <v>636.24450100000001</v>
      </c>
      <c r="J737" s="33">
        <v>2731.3023710000002</v>
      </c>
      <c r="K737" s="33">
        <v>3867.1213889999999</v>
      </c>
      <c r="L737" s="33">
        <v>300.97055599999999</v>
      </c>
      <c r="M737" s="33">
        <v>-418.02602000000002</v>
      </c>
      <c r="N737" s="35">
        <f t="shared" si="180"/>
        <v>-55.346632999999997</v>
      </c>
      <c r="O737" s="33">
        <v>-362.67938700000002</v>
      </c>
      <c r="P737" s="36">
        <v>0</v>
      </c>
      <c r="Q737" s="36">
        <v>0</v>
      </c>
      <c r="R737" s="37">
        <f t="shared" si="181"/>
        <v>0</v>
      </c>
      <c r="S737" s="36"/>
      <c r="T737" s="38">
        <v>366</v>
      </c>
    </row>
    <row r="738" spans="2:20" ht="15.6" x14ac:dyDescent="0.3">
      <c r="B738" s="30">
        <f t="shared" si="178"/>
        <v>19</v>
      </c>
      <c r="C738" s="54" t="s">
        <v>1042</v>
      </c>
      <c r="D738" s="31" t="s">
        <v>1043</v>
      </c>
      <c r="E738" s="32">
        <v>45473</v>
      </c>
      <c r="F738" s="33">
        <v>96.630600000000001</v>
      </c>
      <c r="G738" s="34">
        <v>10</v>
      </c>
      <c r="H738" s="35">
        <f t="shared" si="179"/>
        <v>9.6630599999999998</v>
      </c>
      <c r="I738" s="33">
        <v>1408.2829999999999</v>
      </c>
      <c r="J738" s="33">
        <v>4209.4210000000003</v>
      </c>
      <c r="K738" s="33">
        <v>8154.9709999999995</v>
      </c>
      <c r="L738" s="33">
        <v>332.072</v>
      </c>
      <c r="M738" s="33">
        <v>-467.089</v>
      </c>
      <c r="N738" s="35">
        <f t="shared" si="180"/>
        <v>-4.2799999999999727</v>
      </c>
      <c r="O738" s="33">
        <v>-462.80900000000003</v>
      </c>
      <c r="P738" s="36">
        <v>0</v>
      </c>
      <c r="Q738" s="36">
        <v>0</v>
      </c>
      <c r="R738" s="37">
        <f t="shared" si="181"/>
        <v>0</v>
      </c>
      <c r="S738" s="36"/>
      <c r="T738" s="38">
        <v>955</v>
      </c>
    </row>
    <row r="739" spans="2:20" ht="15.6" x14ac:dyDescent="0.3">
      <c r="B739" s="30">
        <f t="shared" si="178"/>
        <v>20</v>
      </c>
      <c r="C739" s="54" t="s">
        <v>1044</v>
      </c>
      <c r="D739" s="31" t="s">
        <v>1045</v>
      </c>
      <c r="E739" s="32">
        <v>45473</v>
      </c>
      <c r="F739" s="33">
        <v>1484.9121319999999</v>
      </c>
      <c r="G739" s="34">
        <v>10</v>
      </c>
      <c r="H739" s="35">
        <f t="shared" si="179"/>
        <v>148.4912132</v>
      </c>
      <c r="I739" s="33">
        <v>4944.2221740000005</v>
      </c>
      <c r="J739" s="33">
        <v>6237.5445570000002</v>
      </c>
      <c r="K739" s="33">
        <v>11797.754504</v>
      </c>
      <c r="L739" s="33">
        <v>231.48654500000001</v>
      </c>
      <c r="M739" s="33">
        <v>483.45181500000001</v>
      </c>
      <c r="N739" s="35">
        <f t="shared" si="180"/>
        <v>-13.921489000000008</v>
      </c>
      <c r="O739" s="33">
        <v>497.37330400000002</v>
      </c>
      <c r="P739" s="36">
        <v>0</v>
      </c>
      <c r="Q739" s="36">
        <v>0</v>
      </c>
      <c r="R739" s="37">
        <f t="shared" ref="R739" si="182">SUM(P739:Q739)</f>
        <v>0</v>
      </c>
      <c r="S739" s="36"/>
      <c r="T739" s="38">
        <v>3773</v>
      </c>
    </row>
    <row r="740" spans="2:20" ht="15.6" x14ac:dyDescent="0.3">
      <c r="B740" s="30">
        <f t="shared" si="178"/>
        <v>21</v>
      </c>
      <c r="C740" s="54" t="s">
        <v>1046</v>
      </c>
      <c r="D740" s="31" t="s">
        <v>1047</v>
      </c>
      <c r="E740" s="32">
        <v>45473</v>
      </c>
      <c r="F740" s="33">
        <v>3710.2881400000001</v>
      </c>
      <c r="G740" s="34">
        <v>10</v>
      </c>
      <c r="H740" s="35">
        <f t="shared" si="179"/>
        <v>371.02881400000001</v>
      </c>
      <c r="I740" s="33">
        <v>18453.939999999999</v>
      </c>
      <c r="J740" s="33">
        <f>20400.507+9416.717</f>
        <v>29817.224000000002</v>
      </c>
      <c r="K740" s="33">
        <v>10935.370999999999</v>
      </c>
      <c r="L740" s="33">
        <v>1881.45</v>
      </c>
      <c r="M740" s="33">
        <v>-226.465</v>
      </c>
      <c r="N740" s="35">
        <f t="shared" si="180"/>
        <v>-37.316000000000003</v>
      </c>
      <c r="O740" s="33">
        <v>-189.149</v>
      </c>
      <c r="P740" s="36">
        <v>0</v>
      </c>
      <c r="Q740" s="36">
        <v>0</v>
      </c>
      <c r="R740" s="37">
        <f t="shared" si="181"/>
        <v>0</v>
      </c>
      <c r="S740" s="36"/>
      <c r="T740" s="38">
        <v>12050</v>
      </c>
    </row>
    <row r="741" spans="2:20" ht="15.6" x14ac:dyDescent="0.3">
      <c r="B741" s="30">
        <f t="shared" si="178"/>
        <v>22</v>
      </c>
      <c r="C741" s="30" t="s">
        <v>1048</v>
      </c>
      <c r="D741" s="31" t="s">
        <v>1049</v>
      </c>
      <c r="E741" s="32">
        <v>45657</v>
      </c>
      <c r="F741" s="33">
        <v>63.698999999999998</v>
      </c>
      <c r="G741" s="34">
        <v>10</v>
      </c>
      <c r="H741" s="35">
        <f t="shared" si="179"/>
        <v>6.3698999999999995</v>
      </c>
      <c r="I741" s="33">
        <v>13380.423000000001</v>
      </c>
      <c r="J741" s="33">
        <v>27988.332999999999</v>
      </c>
      <c r="K741" s="33">
        <v>33712.048999999999</v>
      </c>
      <c r="L741" s="33">
        <v>35.081000000000003</v>
      </c>
      <c r="M741" s="33">
        <v>10033.082</v>
      </c>
      <c r="N741" s="35">
        <f t="shared" si="180"/>
        <v>3058.451</v>
      </c>
      <c r="O741" s="33">
        <v>6974.6310000000003</v>
      </c>
      <c r="P741" s="36">
        <f>1430+6230+5110+6000</f>
        <v>18770</v>
      </c>
      <c r="Q741" s="36">
        <v>0</v>
      </c>
      <c r="R741" s="37">
        <f t="shared" si="181"/>
        <v>18770</v>
      </c>
      <c r="S741" s="36"/>
      <c r="T741" s="38">
        <v>1148</v>
      </c>
    </row>
    <row r="742" spans="2:20" ht="15.6" x14ac:dyDescent="0.3">
      <c r="B742" s="30">
        <f t="shared" si="178"/>
        <v>23</v>
      </c>
      <c r="C742" s="54" t="s">
        <v>1050</v>
      </c>
      <c r="D742" s="43" t="s">
        <v>1051</v>
      </c>
      <c r="E742" s="32">
        <v>45473</v>
      </c>
      <c r="F742" s="33">
        <v>11940.5</v>
      </c>
      <c r="G742" s="34">
        <v>10</v>
      </c>
      <c r="H742" s="35">
        <f>+F742/G742</f>
        <v>1194.05</v>
      </c>
      <c r="I742" s="33">
        <v>19191.357</v>
      </c>
      <c r="J742" s="33">
        <v>80156.710000000006</v>
      </c>
      <c r="K742" s="33">
        <v>60488.68</v>
      </c>
      <c r="L742" s="33">
        <v>6970.0029999999997</v>
      </c>
      <c r="M742" s="33">
        <v>-2726.4009999999998</v>
      </c>
      <c r="N742" s="35">
        <f>+M742-O742</f>
        <v>-193.75199999999995</v>
      </c>
      <c r="O742" s="33">
        <v>-2532.6489999999999</v>
      </c>
      <c r="P742" s="36">
        <v>0</v>
      </c>
      <c r="Q742" s="36">
        <v>0</v>
      </c>
      <c r="R742" s="37">
        <f>SUM(P742:Q742)</f>
        <v>0</v>
      </c>
      <c r="S742" s="36"/>
      <c r="T742" s="38">
        <v>6347</v>
      </c>
    </row>
    <row r="743" spans="2:20" ht="15.6" x14ac:dyDescent="0.3">
      <c r="B743" s="30">
        <f t="shared" si="178"/>
        <v>24</v>
      </c>
      <c r="C743" s="54" t="s">
        <v>1052</v>
      </c>
      <c r="D743" s="31" t="s">
        <v>1053</v>
      </c>
      <c r="E743" s="32">
        <v>45657</v>
      </c>
      <c r="F743" s="33">
        <v>61.225999999999999</v>
      </c>
      <c r="G743" s="34">
        <v>10</v>
      </c>
      <c r="H743" s="35">
        <f t="shared" si="179"/>
        <v>6.1226000000000003</v>
      </c>
      <c r="I743" s="33">
        <v>1375.7529999999999</v>
      </c>
      <c r="J743" s="33">
        <v>3215.6509999999998</v>
      </c>
      <c r="K743" s="33">
        <v>6364.8509999999997</v>
      </c>
      <c r="L743" s="33">
        <v>118.959</v>
      </c>
      <c r="M743" s="33">
        <v>69.736999999999995</v>
      </c>
      <c r="N743" s="35">
        <f t="shared" si="180"/>
        <v>26.789999999999992</v>
      </c>
      <c r="O743" s="33">
        <v>42.947000000000003</v>
      </c>
      <c r="P743" s="36">
        <v>25</v>
      </c>
      <c r="Q743" s="36">
        <v>0</v>
      </c>
      <c r="R743" s="37">
        <f t="shared" si="181"/>
        <v>25</v>
      </c>
      <c r="S743" s="36"/>
      <c r="T743" s="38">
        <v>1159</v>
      </c>
    </row>
    <row r="744" spans="2:20" ht="15.6" x14ac:dyDescent="0.3">
      <c r="B744" s="57"/>
      <c r="C744" s="56"/>
      <c r="D744" s="58"/>
      <c r="E744" s="59"/>
      <c r="F744" s="60"/>
      <c r="G744" s="40"/>
      <c r="H744" s="61"/>
      <c r="I744" s="60"/>
      <c r="J744" s="60"/>
      <c r="K744" s="60"/>
      <c r="L744" s="60"/>
      <c r="M744" s="60"/>
      <c r="N744" s="61"/>
      <c r="O744" s="60"/>
      <c r="P744" s="62"/>
      <c r="Q744" s="62"/>
      <c r="R744" s="63"/>
      <c r="S744" s="62"/>
      <c r="T744" s="64"/>
    </row>
    <row r="745" spans="2:20" ht="18" x14ac:dyDescent="0.35">
      <c r="B745" s="25"/>
      <c r="C745" s="25"/>
      <c r="D745" s="53" t="s">
        <v>1127</v>
      </c>
      <c r="E745" s="25"/>
      <c r="F745" s="25"/>
      <c r="G745" s="40"/>
      <c r="H745" s="41"/>
      <c r="I745" s="27"/>
      <c r="J745" s="27"/>
      <c r="K745" s="27"/>
      <c r="L745" s="27"/>
      <c r="M745" s="27"/>
      <c r="N745" s="42"/>
      <c r="O745" s="27"/>
      <c r="P745" s="27"/>
      <c r="Q745" s="27"/>
      <c r="R745" s="42"/>
      <c r="S745" s="27"/>
      <c r="T745" s="27"/>
    </row>
    <row r="746" spans="2:20" ht="15.6" x14ac:dyDescent="0.3">
      <c r="B746" s="30">
        <v>1</v>
      </c>
      <c r="C746" s="30" t="s">
        <v>1054</v>
      </c>
      <c r="D746" s="31" t="s">
        <v>1055</v>
      </c>
      <c r="E746" s="32">
        <v>45473</v>
      </c>
      <c r="F746" s="33"/>
      <c r="G746" s="34">
        <v>10</v>
      </c>
      <c r="H746" s="35">
        <f>+F746/G746</f>
        <v>0</v>
      </c>
      <c r="I746" s="33"/>
      <c r="J746" s="33"/>
      <c r="K746" s="33"/>
      <c r="L746" s="33"/>
      <c r="M746" s="33"/>
      <c r="N746" s="35">
        <f>+M746-O746</f>
        <v>0</v>
      </c>
      <c r="O746" s="33"/>
      <c r="P746" s="36"/>
      <c r="Q746" s="36"/>
      <c r="R746" s="37">
        <f>SUM(P746:Q746)</f>
        <v>0</v>
      </c>
      <c r="S746" s="36"/>
      <c r="T746" s="38"/>
    </row>
    <row r="747" spans="2:20" ht="15.6" x14ac:dyDescent="0.3">
      <c r="B747" s="30">
        <f>+B746+1</f>
        <v>2</v>
      </c>
      <c r="C747" s="54" t="s">
        <v>1056</v>
      </c>
      <c r="D747" s="31" t="s">
        <v>1057</v>
      </c>
      <c r="E747" s="32">
        <v>45473</v>
      </c>
      <c r="F747" s="33"/>
      <c r="G747" s="34">
        <v>10</v>
      </c>
      <c r="H747" s="35">
        <f>+F747/G747</f>
        <v>0</v>
      </c>
      <c r="I747" s="33"/>
      <c r="J747" s="33"/>
      <c r="K747" s="33"/>
      <c r="L747" s="33"/>
      <c r="M747" s="33"/>
      <c r="N747" s="35">
        <f>+M747-O747</f>
        <v>0</v>
      </c>
      <c r="O747" s="33"/>
      <c r="P747" s="36"/>
      <c r="Q747" s="36"/>
      <c r="R747" s="37">
        <f>SUM(P747:Q747)</f>
        <v>0</v>
      </c>
      <c r="S747" s="36"/>
      <c r="T747" s="38"/>
    </row>
    <row r="748" spans="2:20" ht="15.6" x14ac:dyDescent="0.3">
      <c r="B748" s="25"/>
      <c r="C748" s="25"/>
      <c r="D748" s="25"/>
      <c r="E748" s="25"/>
      <c r="F748" s="25"/>
      <c r="G748" s="40"/>
      <c r="H748" s="41"/>
      <c r="I748" s="27"/>
      <c r="J748" s="27"/>
      <c r="K748" s="27"/>
      <c r="L748" s="27"/>
      <c r="M748" s="27"/>
      <c r="N748" s="42"/>
      <c r="O748" s="27"/>
      <c r="P748" s="27"/>
      <c r="Q748" s="27"/>
      <c r="R748" s="42"/>
      <c r="S748" s="27"/>
      <c r="T748" s="27"/>
    </row>
    <row r="749" spans="2:20" ht="15.6" x14ac:dyDescent="0.3">
      <c r="B749" s="44">
        <f>COUNT(B720:B748)</f>
        <v>26</v>
      </c>
      <c r="C749" s="44"/>
      <c r="D749" s="45"/>
      <c r="E749" s="45"/>
      <c r="F749" s="45">
        <f>SUM(F720:F748)</f>
        <v>64255.253072</v>
      </c>
      <c r="G749" s="46"/>
      <c r="H749" s="47">
        <f t="shared" ref="H749:O749" si="183">SUM(H720:H748)</f>
        <v>6542.0829322</v>
      </c>
      <c r="I749" s="45">
        <f t="shared" si="183"/>
        <v>238501.899232</v>
      </c>
      <c r="J749" s="45">
        <f t="shared" si="183"/>
        <v>601568.84351399995</v>
      </c>
      <c r="K749" s="45">
        <f t="shared" si="183"/>
        <v>873699.50015400001</v>
      </c>
      <c r="L749" s="45">
        <f t="shared" si="183"/>
        <v>28895.158386999999</v>
      </c>
      <c r="M749" s="45">
        <f t="shared" si="183"/>
        <v>90062.987196999966</v>
      </c>
      <c r="N749" s="48">
        <f t="shared" si="183"/>
        <v>32030.253459000007</v>
      </c>
      <c r="O749" s="45">
        <f t="shared" si="183"/>
        <v>58032.733738000003</v>
      </c>
      <c r="P749" s="49"/>
      <c r="Q749" s="49"/>
      <c r="R749" s="50"/>
      <c r="S749" s="49"/>
      <c r="T749" s="51">
        <f>SUM(T720:T748)</f>
        <v>80004</v>
      </c>
    </row>
    <row r="750" spans="2:20" ht="15.6" x14ac:dyDescent="0.3">
      <c r="B750" s="25"/>
      <c r="C750" s="25"/>
      <c r="D750" s="25"/>
      <c r="E750" s="25"/>
      <c r="F750" s="25"/>
      <c r="G750" s="40"/>
      <c r="H750" s="41"/>
      <c r="I750" s="27"/>
      <c r="J750" s="27"/>
      <c r="K750" s="27"/>
      <c r="L750" s="27"/>
      <c r="M750" s="27"/>
      <c r="N750" s="42"/>
      <c r="O750" s="27"/>
      <c r="P750" s="27"/>
      <c r="Q750" s="27"/>
      <c r="R750" s="42"/>
      <c r="S750" s="27"/>
      <c r="T750" s="27"/>
    </row>
    <row r="751" spans="2:20" ht="15.6" x14ac:dyDescent="0.3">
      <c r="B751" s="25"/>
      <c r="C751" s="25"/>
      <c r="D751" s="25"/>
      <c r="E751" s="25"/>
      <c r="F751" s="25"/>
      <c r="G751" s="40"/>
      <c r="H751" s="41"/>
      <c r="I751" s="27"/>
      <c r="J751" s="27"/>
      <c r="K751" s="27"/>
      <c r="L751" s="27"/>
      <c r="M751" s="27"/>
      <c r="N751" s="42"/>
      <c r="O751" s="27"/>
      <c r="P751" s="27"/>
      <c r="Q751" s="27"/>
      <c r="R751" s="42"/>
      <c r="S751" s="27"/>
      <c r="T751" s="27"/>
    </row>
    <row r="752" spans="2:20" ht="18" x14ac:dyDescent="0.35">
      <c r="B752" s="25"/>
      <c r="C752" s="29">
        <v>35</v>
      </c>
      <c r="D752" s="29" t="s">
        <v>1058</v>
      </c>
      <c r="E752" s="55"/>
      <c r="F752" s="55"/>
      <c r="G752" s="40"/>
      <c r="H752" s="41"/>
      <c r="I752" s="27"/>
      <c r="J752" s="27"/>
      <c r="K752" s="27"/>
      <c r="L752" s="27"/>
      <c r="M752" s="27"/>
      <c r="N752" s="42"/>
      <c r="O752" s="27"/>
      <c r="P752" s="27"/>
      <c r="Q752" s="27"/>
      <c r="R752" s="42"/>
      <c r="S752" s="27"/>
      <c r="T752" s="27"/>
    </row>
    <row r="753" spans="2:20" ht="15.6" x14ac:dyDescent="0.3">
      <c r="B753" s="25"/>
      <c r="C753" s="25"/>
      <c r="D753" s="25"/>
      <c r="E753" s="25"/>
      <c r="F753" s="25"/>
      <c r="G753" s="40"/>
      <c r="H753" s="41"/>
      <c r="I753" s="27"/>
      <c r="J753" s="27"/>
      <c r="K753" s="27"/>
      <c r="L753" s="27"/>
      <c r="M753" s="27"/>
      <c r="N753" s="42"/>
      <c r="O753" s="27"/>
      <c r="P753" s="27"/>
      <c r="Q753" s="27"/>
      <c r="R753" s="42"/>
      <c r="S753" s="27"/>
      <c r="T753" s="27"/>
    </row>
    <row r="754" spans="2:20" ht="15.6" x14ac:dyDescent="0.3">
      <c r="B754" s="30">
        <v>1</v>
      </c>
      <c r="C754" s="30" t="s">
        <v>1059</v>
      </c>
      <c r="D754" s="31" t="s">
        <v>1060</v>
      </c>
      <c r="E754" s="32">
        <v>45473</v>
      </c>
      <c r="F754" s="33">
        <v>2616</v>
      </c>
      <c r="G754" s="34">
        <v>10</v>
      </c>
      <c r="H754" s="35">
        <f t="shared" ref="H754:H761" si="184">+F754/G754</f>
        <v>261.60000000000002</v>
      </c>
      <c r="I754" s="33">
        <v>1761.9369999999999</v>
      </c>
      <c r="J754" s="33">
        <v>4426.3329999999996</v>
      </c>
      <c r="K754" s="33">
        <v>161.345</v>
      </c>
      <c r="L754" s="33">
        <v>190.59700000000001</v>
      </c>
      <c r="M754" s="33">
        <v>-514.18799999999999</v>
      </c>
      <c r="N754" s="35">
        <f t="shared" ref="N754:N761" si="185">+M754-O754</f>
        <v>-5.4660000000000082</v>
      </c>
      <c r="O754" s="33">
        <v>-508.72199999999998</v>
      </c>
      <c r="P754" s="36">
        <v>0</v>
      </c>
      <c r="Q754" s="36">
        <v>0</v>
      </c>
      <c r="R754" s="37">
        <f t="shared" ref="R754:R761" si="186">SUM(P754:Q754)</f>
        <v>0</v>
      </c>
      <c r="S754" s="36"/>
      <c r="T754" s="38">
        <v>3219</v>
      </c>
    </row>
    <row r="755" spans="2:20" ht="15.6" x14ac:dyDescent="0.3">
      <c r="B755" s="30">
        <f>+B754+1</f>
        <v>2</v>
      </c>
      <c r="C755" s="30" t="s">
        <v>1061</v>
      </c>
      <c r="D755" s="31" t="s">
        <v>1062</v>
      </c>
      <c r="E755" s="32">
        <v>45473</v>
      </c>
      <c r="F755" s="33">
        <v>378.73820999999998</v>
      </c>
      <c r="G755" s="34">
        <v>10</v>
      </c>
      <c r="H755" s="35">
        <f t="shared" si="184"/>
        <v>37.873821</v>
      </c>
      <c r="I755" s="33">
        <v>1775.0296290000001</v>
      </c>
      <c r="J755" s="33">
        <v>4367.88699</v>
      </c>
      <c r="K755" s="33">
        <v>3419.3496540000001</v>
      </c>
      <c r="L755" s="33">
        <v>143.17958100000001</v>
      </c>
      <c r="M755" s="33">
        <v>-124.93968599999999</v>
      </c>
      <c r="N755" s="35">
        <f t="shared" si="185"/>
        <v>-15.026531999999989</v>
      </c>
      <c r="O755" s="33">
        <v>-109.91315400000001</v>
      </c>
      <c r="P755" s="36">
        <v>0</v>
      </c>
      <c r="Q755" s="36">
        <v>0</v>
      </c>
      <c r="R755" s="37">
        <f t="shared" si="186"/>
        <v>0</v>
      </c>
      <c r="S755" s="36"/>
      <c r="T755" s="38">
        <v>861</v>
      </c>
    </row>
    <row r="756" spans="2:20" ht="15.6" x14ac:dyDescent="0.3">
      <c r="B756" s="30">
        <f t="shared" ref="B756:B761" si="187">+B755+1</f>
        <v>3</v>
      </c>
      <c r="C756" s="30" t="s">
        <v>1063</v>
      </c>
      <c r="D756" s="31" t="s">
        <v>1064</v>
      </c>
      <c r="E756" s="32">
        <v>45473</v>
      </c>
      <c r="F756" s="33">
        <v>2400</v>
      </c>
      <c r="G756" s="34">
        <v>10</v>
      </c>
      <c r="H756" s="35">
        <f>+F756/G756</f>
        <v>240</v>
      </c>
      <c r="I756" s="33">
        <v>2568.460979</v>
      </c>
      <c r="J756" s="33">
        <v>5218.9504619999998</v>
      </c>
      <c r="K756" s="33">
        <v>2439.728325</v>
      </c>
      <c r="L756" s="33">
        <v>406.70553799999999</v>
      </c>
      <c r="M756" s="33">
        <v>144.818038</v>
      </c>
      <c r="N756" s="35">
        <f>+M756-O756</f>
        <v>0</v>
      </c>
      <c r="O756" s="33">
        <v>144.818038</v>
      </c>
      <c r="P756" s="36">
        <v>0</v>
      </c>
      <c r="Q756" s="36">
        <v>0</v>
      </c>
      <c r="R756" s="37">
        <f>SUM(P756:Q756)</f>
        <v>0</v>
      </c>
      <c r="S756" s="36"/>
      <c r="T756" s="38">
        <v>6227</v>
      </c>
    </row>
    <row r="757" spans="2:20" ht="15.6" x14ac:dyDescent="0.3">
      <c r="B757" s="30">
        <f t="shared" si="187"/>
        <v>4</v>
      </c>
      <c r="C757" s="30" t="s">
        <v>1065</v>
      </c>
      <c r="D757" s="31" t="s">
        <v>1066</v>
      </c>
      <c r="E757" s="32">
        <v>45473</v>
      </c>
      <c r="F757" s="33">
        <v>9997.1483800000005</v>
      </c>
      <c r="G757" s="34">
        <v>10</v>
      </c>
      <c r="H757" s="35">
        <f t="shared" si="184"/>
        <v>999.7148380000001</v>
      </c>
      <c r="I757" s="33">
        <v>33951.980509000001</v>
      </c>
      <c r="J757" s="33">
        <v>49563.468711000001</v>
      </c>
      <c r="K757" s="33">
        <v>47790.454546000001</v>
      </c>
      <c r="L757" s="33">
        <v>206.21417700000001</v>
      </c>
      <c r="M757" s="33">
        <v>8032.6563230000002</v>
      </c>
      <c r="N757" s="35">
        <f t="shared" si="185"/>
        <v>1282.435125</v>
      </c>
      <c r="O757" s="33">
        <v>6750.2211980000002</v>
      </c>
      <c r="P757" s="36">
        <v>10</v>
      </c>
      <c r="Q757" s="36">
        <v>0</v>
      </c>
      <c r="R757" s="37">
        <f t="shared" si="186"/>
        <v>10</v>
      </c>
      <c r="S757" s="36"/>
      <c r="T757" s="38">
        <v>4787</v>
      </c>
    </row>
    <row r="758" spans="2:20" ht="15.6" x14ac:dyDescent="0.3">
      <c r="B758" s="30">
        <f t="shared" si="187"/>
        <v>5</v>
      </c>
      <c r="C758" s="54" t="s">
        <v>1067</v>
      </c>
      <c r="D758" s="31" t="s">
        <v>1068</v>
      </c>
      <c r="E758" s="32">
        <v>45473</v>
      </c>
      <c r="F758" s="33">
        <v>1499.4217799999999</v>
      </c>
      <c r="G758" s="34">
        <v>10</v>
      </c>
      <c r="H758" s="35">
        <f t="shared" si="184"/>
        <v>149.94217799999998</v>
      </c>
      <c r="I758" s="33">
        <v>3780.6416359999998</v>
      </c>
      <c r="J758" s="33">
        <v>5704.3007699999998</v>
      </c>
      <c r="K758" s="33">
        <v>4973.5153010000004</v>
      </c>
      <c r="L758" s="33">
        <v>0</v>
      </c>
      <c r="M758" s="33">
        <v>1235.665677</v>
      </c>
      <c r="N758" s="35">
        <f t="shared" si="185"/>
        <v>337.66887599999995</v>
      </c>
      <c r="O758" s="33">
        <v>897.996801</v>
      </c>
      <c r="P758" s="36">
        <v>10</v>
      </c>
      <c r="Q758" s="36">
        <v>0</v>
      </c>
      <c r="R758" s="37">
        <f t="shared" si="186"/>
        <v>10</v>
      </c>
      <c r="S758" s="36"/>
      <c r="T758" s="38">
        <v>3159</v>
      </c>
    </row>
    <row r="759" spans="2:20" ht="15.6" x14ac:dyDescent="0.3">
      <c r="B759" s="30">
        <f t="shared" si="187"/>
        <v>6</v>
      </c>
      <c r="C759" s="30" t="s">
        <v>1069</v>
      </c>
      <c r="D759" s="31" t="s">
        <v>1070</v>
      </c>
      <c r="E759" s="32">
        <v>45473</v>
      </c>
      <c r="F759" s="33">
        <v>145.48676</v>
      </c>
      <c r="G759" s="34">
        <v>10</v>
      </c>
      <c r="H759" s="35">
        <f t="shared" si="184"/>
        <v>14.548676</v>
      </c>
      <c r="I759" s="33">
        <v>1299.517104</v>
      </c>
      <c r="J759" s="33">
        <v>2120.9040479999999</v>
      </c>
      <c r="K759" s="33">
        <v>1348.4655499999999</v>
      </c>
      <c r="L759" s="33">
        <v>1.525514</v>
      </c>
      <c r="M759" s="33">
        <v>-490.75165299999998</v>
      </c>
      <c r="N759" s="35">
        <f t="shared" si="185"/>
        <v>-58.663837000000001</v>
      </c>
      <c r="O759" s="33">
        <v>-432.08781599999998</v>
      </c>
      <c r="P759" s="36">
        <v>0</v>
      </c>
      <c r="Q759" s="36">
        <v>0</v>
      </c>
      <c r="R759" s="37">
        <f t="shared" si="186"/>
        <v>0</v>
      </c>
      <c r="S759" s="36"/>
      <c r="T759" s="38">
        <v>284</v>
      </c>
    </row>
    <row r="760" spans="2:20" ht="15.6" x14ac:dyDescent="0.3">
      <c r="B760" s="30">
        <f t="shared" si="187"/>
        <v>7</v>
      </c>
      <c r="C760" s="30" t="s">
        <v>1071</v>
      </c>
      <c r="D760" s="31" t="s">
        <v>1072</v>
      </c>
      <c r="E760" s="32">
        <v>45473</v>
      </c>
      <c r="F760" s="33">
        <v>1196.5999999999999</v>
      </c>
      <c r="G760" s="34">
        <v>5</v>
      </c>
      <c r="H760" s="35">
        <f t="shared" si="184"/>
        <v>239.32</v>
      </c>
      <c r="I760" s="33">
        <v>3020.3960000000002</v>
      </c>
      <c r="J760" s="33">
        <v>8160.6959999999999</v>
      </c>
      <c r="K760" s="33">
        <v>15581.047</v>
      </c>
      <c r="L760" s="33">
        <v>198.63</v>
      </c>
      <c r="M760" s="33">
        <v>597.44200000000001</v>
      </c>
      <c r="N760" s="35">
        <f t="shared" si="185"/>
        <v>277.27699999999999</v>
      </c>
      <c r="O760" s="33">
        <v>320.16500000000002</v>
      </c>
      <c r="P760" s="36">
        <v>15</v>
      </c>
      <c r="Q760" s="36">
        <v>0</v>
      </c>
      <c r="R760" s="37">
        <f t="shared" si="186"/>
        <v>15</v>
      </c>
      <c r="S760" s="36"/>
      <c r="T760" s="38">
        <v>3283</v>
      </c>
    </row>
    <row r="761" spans="2:20" ht="15.6" x14ac:dyDescent="0.3">
      <c r="B761" s="30">
        <f t="shared" si="187"/>
        <v>8</v>
      </c>
      <c r="C761" s="54" t="s">
        <v>1073</v>
      </c>
      <c r="D761" s="31" t="s">
        <v>1074</v>
      </c>
      <c r="E761" s="32">
        <v>45473</v>
      </c>
      <c r="F761" s="33">
        <v>1721.6718800000001</v>
      </c>
      <c r="G761" s="34">
        <v>10</v>
      </c>
      <c r="H761" s="35">
        <f t="shared" si="184"/>
        <v>172.16718800000001</v>
      </c>
      <c r="I761" s="33">
        <v>18623.627238000001</v>
      </c>
      <c r="J761" s="33">
        <v>28128.18217</v>
      </c>
      <c r="K761" s="33">
        <v>29598.543541999999</v>
      </c>
      <c r="L761" s="33">
        <v>572.35065499999996</v>
      </c>
      <c r="M761" s="33">
        <v>6755.823163</v>
      </c>
      <c r="N761" s="35">
        <f t="shared" si="185"/>
        <v>2381.3538920000001</v>
      </c>
      <c r="O761" s="33">
        <v>4374.4692709999999</v>
      </c>
      <c r="P761" s="36">
        <v>0</v>
      </c>
      <c r="Q761" s="36">
        <v>0</v>
      </c>
      <c r="R761" s="37">
        <f t="shared" si="186"/>
        <v>0</v>
      </c>
      <c r="S761" s="36"/>
      <c r="T761" s="38">
        <v>3895</v>
      </c>
    </row>
    <row r="762" spans="2:20" ht="15.6" x14ac:dyDescent="0.3">
      <c r="B762" s="25"/>
      <c r="C762" s="25"/>
      <c r="D762" s="25"/>
      <c r="E762" s="25"/>
      <c r="F762" s="25"/>
      <c r="G762" s="40"/>
      <c r="H762" s="41"/>
      <c r="I762" s="27"/>
      <c r="J762" s="27"/>
      <c r="K762" s="27"/>
      <c r="L762" s="27"/>
      <c r="M762" s="27"/>
      <c r="N762" s="42"/>
      <c r="O762" s="27"/>
      <c r="P762" s="27"/>
      <c r="Q762" s="27"/>
      <c r="R762" s="42"/>
      <c r="S762" s="27"/>
      <c r="T762" s="27"/>
    </row>
    <row r="763" spans="2:20" ht="18" x14ac:dyDescent="0.35">
      <c r="B763" s="25"/>
      <c r="C763" s="25"/>
      <c r="D763" s="53" t="s">
        <v>1127</v>
      </c>
      <c r="E763" s="25"/>
      <c r="F763" s="25"/>
      <c r="G763" s="40"/>
      <c r="H763" s="41"/>
      <c r="I763" s="27"/>
      <c r="J763" s="27"/>
      <c r="K763" s="27"/>
      <c r="L763" s="27"/>
      <c r="M763" s="27"/>
      <c r="N763" s="42"/>
      <c r="O763" s="27"/>
      <c r="P763" s="27"/>
      <c r="Q763" s="27"/>
      <c r="R763" s="42"/>
      <c r="S763" s="27"/>
      <c r="T763" s="27"/>
    </row>
    <row r="764" spans="2:20" ht="15.6" x14ac:dyDescent="0.3">
      <c r="B764" s="54">
        <v>1</v>
      </c>
      <c r="C764" s="54" t="s">
        <v>1075</v>
      </c>
      <c r="D764" s="31" t="s">
        <v>1076</v>
      </c>
      <c r="E764" s="32">
        <v>45473</v>
      </c>
      <c r="F764" s="33"/>
      <c r="G764" s="34">
        <v>10</v>
      </c>
      <c r="H764" s="35">
        <f>+F764/G764</f>
        <v>0</v>
      </c>
      <c r="I764" s="33"/>
      <c r="J764" s="33"/>
      <c r="K764" s="33"/>
      <c r="L764" s="33"/>
      <c r="M764" s="33"/>
      <c r="N764" s="35">
        <f>+M764-O764</f>
        <v>0</v>
      </c>
      <c r="O764" s="33"/>
      <c r="P764" s="36"/>
      <c r="Q764" s="36"/>
      <c r="R764" s="37">
        <f>SUM(P764:Q764)</f>
        <v>0</v>
      </c>
      <c r="S764" s="36"/>
      <c r="T764" s="38"/>
    </row>
    <row r="765" spans="2:20" ht="15.6" x14ac:dyDescent="0.3">
      <c r="B765" s="25"/>
      <c r="C765" s="25"/>
      <c r="D765" s="25"/>
      <c r="E765" s="25"/>
      <c r="F765" s="25"/>
      <c r="G765" s="40"/>
      <c r="H765" s="41"/>
      <c r="I765" s="27"/>
      <c r="J765" s="27"/>
      <c r="K765" s="27"/>
      <c r="L765" s="27"/>
      <c r="M765" s="27"/>
      <c r="N765" s="42"/>
      <c r="O765" s="27"/>
      <c r="P765" s="27"/>
      <c r="Q765" s="27"/>
      <c r="R765" s="42"/>
      <c r="S765" s="27"/>
      <c r="T765" s="27"/>
    </row>
    <row r="766" spans="2:20" ht="15.6" x14ac:dyDescent="0.3">
      <c r="B766" s="44">
        <f>COUNT(B754:B765)</f>
        <v>9</v>
      </c>
      <c r="C766" s="44"/>
      <c r="D766" s="45"/>
      <c r="E766" s="45"/>
      <c r="F766" s="45">
        <f>SUM(F754:F765)</f>
        <v>19955.067009999999</v>
      </c>
      <c r="G766" s="46"/>
      <c r="H766" s="47">
        <f t="shared" ref="H766:O766" si="188">SUM(H754:H765)</f>
        <v>2115.1667010000001</v>
      </c>
      <c r="I766" s="45">
        <f t="shared" si="188"/>
        <v>66781.590094999992</v>
      </c>
      <c r="J766" s="45">
        <f t="shared" si="188"/>
        <v>107690.72215099999</v>
      </c>
      <c r="K766" s="45">
        <f t="shared" si="188"/>
        <v>105312.44891800001</v>
      </c>
      <c r="L766" s="45">
        <f t="shared" si="188"/>
        <v>1719.2024650000001</v>
      </c>
      <c r="M766" s="45">
        <f t="shared" si="188"/>
        <v>15636.525862000002</v>
      </c>
      <c r="N766" s="48">
        <f t="shared" si="188"/>
        <v>4199.5785240000005</v>
      </c>
      <c r="O766" s="45">
        <f t="shared" si="188"/>
        <v>11436.947338</v>
      </c>
      <c r="P766" s="49"/>
      <c r="Q766" s="49"/>
      <c r="R766" s="50"/>
      <c r="S766" s="49"/>
      <c r="T766" s="51">
        <f>SUM(T754:T765)</f>
        <v>25715</v>
      </c>
    </row>
    <row r="767" spans="2:20" ht="15.6" x14ac:dyDescent="0.3">
      <c r="B767" s="25"/>
      <c r="C767" s="25"/>
      <c r="D767" s="25"/>
      <c r="E767" s="25"/>
      <c r="F767" s="25"/>
      <c r="G767" s="40"/>
      <c r="H767" s="41"/>
      <c r="I767" s="27"/>
      <c r="J767" s="27"/>
      <c r="K767" s="27"/>
      <c r="L767" s="27"/>
      <c r="M767" s="27"/>
      <c r="N767" s="42"/>
      <c r="O767" s="27"/>
      <c r="P767" s="27"/>
      <c r="Q767" s="27"/>
      <c r="R767" s="42"/>
      <c r="S767" s="27"/>
      <c r="T767" s="27"/>
    </row>
    <row r="768" spans="2:20" ht="15.6" x14ac:dyDescent="0.3">
      <c r="B768" s="25"/>
      <c r="C768" s="25"/>
      <c r="D768" s="25"/>
      <c r="E768" s="25"/>
      <c r="F768" s="25"/>
      <c r="G768" s="40"/>
      <c r="H768" s="41"/>
      <c r="I768" s="27"/>
      <c r="J768" s="27"/>
      <c r="K768" s="27"/>
      <c r="L768" s="27"/>
      <c r="M768" s="27"/>
      <c r="N768" s="42"/>
      <c r="O768" s="27"/>
      <c r="P768" s="27"/>
      <c r="Q768" s="27"/>
      <c r="R768" s="42"/>
      <c r="S768" s="27"/>
      <c r="T768" s="27"/>
    </row>
    <row r="769" spans="2:20" ht="18" x14ac:dyDescent="0.35">
      <c r="B769" s="25"/>
      <c r="C769" s="29">
        <v>36</v>
      </c>
      <c r="D769" s="29" t="s">
        <v>1077</v>
      </c>
      <c r="E769" s="55"/>
      <c r="F769" s="55"/>
      <c r="G769" s="40"/>
      <c r="H769" s="41"/>
      <c r="I769" s="27"/>
      <c r="J769" s="27"/>
      <c r="K769" s="27"/>
      <c r="L769" s="27"/>
      <c r="M769" s="27"/>
      <c r="N769" s="42"/>
      <c r="O769" s="27"/>
      <c r="P769" s="27"/>
      <c r="Q769" s="27"/>
      <c r="R769" s="42"/>
      <c r="S769" s="27"/>
      <c r="T769" s="27"/>
    </row>
    <row r="770" spans="2:20" ht="15.6" x14ac:dyDescent="0.3">
      <c r="B770" s="25"/>
      <c r="C770" s="25"/>
      <c r="D770" s="25"/>
      <c r="E770" s="25"/>
      <c r="F770" s="25"/>
      <c r="G770" s="40"/>
      <c r="H770" s="41"/>
      <c r="I770" s="27"/>
      <c r="J770" s="27"/>
      <c r="K770" s="27"/>
      <c r="L770" s="27"/>
      <c r="M770" s="27"/>
      <c r="N770" s="42"/>
      <c r="O770" s="27"/>
      <c r="P770" s="27"/>
      <c r="Q770" s="27"/>
      <c r="R770" s="42"/>
      <c r="S770" s="27"/>
      <c r="T770" s="27"/>
    </row>
    <row r="771" spans="2:20" ht="15.6" x14ac:dyDescent="0.3">
      <c r="B771" s="54">
        <v>1</v>
      </c>
      <c r="C771" s="54" t="s">
        <v>1078</v>
      </c>
      <c r="D771" s="31" t="s">
        <v>1079</v>
      </c>
      <c r="E771" s="32">
        <v>45473</v>
      </c>
      <c r="F771" s="33">
        <v>25.072732999999999</v>
      </c>
      <c r="G771" s="34">
        <v>10</v>
      </c>
      <c r="H771" s="35">
        <f t="shared" ref="H771:H785" si="189">+F771/G771</f>
        <v>2.5072733</v>
      </c>
      <c r="I771" s="33">
        <v>23.288554000000001</v>
      </c>
      <c r="J771" s="33">
        <v>32.127737000000003</v>
      </c>
      <c r="K771" s="33">
        <v>6</v>
      </c>
      <c r="L771" s="33">
        <v>0</v>
      </c>
      <c r="M771" s="33">
        <v>8.3466439999999995</v>
      </c>
      <c r="N771" s="35">
        <f t="shared" ref="N771:N785" si="190">+M771-O771</f>
        <v>-1.4266000000001E-2</v>
      </c>
      <c r="O771" s="33">
        <v>8.3609100000000005</v>
      </c>
      <c r="P771" s="36">
        <v>0</v>
      </c>
      <c r="Q771" s="36">
        <v>0</v>
      </c>
      <c r="R771" s="37">
        <f t="shared" ref="R771:R785" si="191">SUM(P771:Q771)</f>
        <v>0</v>
      </c>
      <c r="S771" s="36"/>
      <c r="T771" s="38">
        <v>792</v>
      </c>
    </row>
    <row r="772" spans="2:20" ht="15.6" x14ac:dyDescent="0.3">
      <c r="B772" s="54">
        <f>+B771+1</f>
        <v>2</v>
      </c>
      <c r="C772" s="30" t="s">
        <v>1080</v>
      </c>
      <c r="D772" s="31" t="s">
        <v>1081</v>
      </c>
      <c r="E772" s="32">
        <v>45473</v>
      </c>
      <c r="F772" s="33">
        <v>100</v>
      </c>
      <c r="G772" s="34">
        <v>10</v>
      </c>
      <c r="H772" s="35">
        <f t="shared" si="189"/>
        <v>10</v>
      </c>
      <c r="I772" s="33">
        <v>322.38519000000002</v>
      </c>
      <c r="J772" s="33">
        <v>681.49008200000003</v>
      </c>
      <c r="K772" s="33">
        <v>1278.4854419999999</v>
      </c>
      <c r="L772" s="33">
        <v>16.681270999999999</v>
      </c>
      <c r="M772" s="33">
        <v>40.189808999999997</v>
      </c>
      <c r="N772" s="35">
        <f t="shared" si="190"/>
        <v>12.936492999999995</v>
      </c>
      <c r="O772" s="33">
        <v>27.253316000000002</v>
      </c>
      <c r="P772" s="36">
        <v>0</v>
      </c>
      <c r="Q772" s="36">
        <v>0</v>
      </c>
      <c r="R772" s="37">
        <f t="shared" si="191"/>
        <v>0</v>
      </c>
      <c r="S772" s="36"/>
      <c r="T772" s="38">
        <v>320</v>
      </c>
    </row>
    <row r="773" spans="2:20" ht="15.6" x14ac:dyDescent="0.3">
      <c r="B773" s="54">
        <f t="shared" ref="B773:B785" si="192">+B772+1</f>
        <v>3</v>
      </c>
      <c r="C773" s="30" t="s">
        <v>1082</v>
      </c>
      <c r="D773" s="31" t="s">
        <v>1083</v>
      </c>
      <c r="E773" s="32">
        <v>45473</v>
      </c>
      <c r="F773" s="33">
        <v>40</v>
      </c>
      <c r="G773" s="34">
        <v>10</v>
      </c>
      <c r="H773" s="35">
        <f t="shared" si="189"/>
        <v>4</v>
      </c>
      <c r="I773" s="33">
        <v>339.31645700000001</v>
      </c>
      <c r="J773" s="33">
        <v>352.07949300000001</v>
      </c>
      <c r="K773" s="33">
        <v>21.865856000000001</v>
      </c>
      <c r="L773" s="33">
        <v>5.4819999999999999E-3</v>
      </c>
      <c r="M773" s="33">
        <v>-247.39160000000001</v>
      </c>
      <c r="N773" s="35">
        <f t="shared" si="190"/>
        <v>2.1679719999999918</v>
      </c>
      <c r="O773" s="33">
        <v>-249.559572</v>
      </c>
      <c r="P773" s="36">
        <v>0</v>
      </c>
      <c r="Q773" s="36">
        <v>0</v>
      </c>
      <c r="R773" s="37">
        <f t="shared" si="191"/>
        <v>0</v>
      </c>
      <c r="S773" s="36"/>
      <c r="T773" s="38">
        <v>592</v>
      </c>
    </row>
    <row r="774" spans="2:20" ht="15.6" x14ac:dyDescent="0.3">
      <c r="B774" s="54">
        <f t="shared" si="192"/>
        <v>4</v>
      </c>
      <c r="C774" s="54" t="s">
        <v>1084</v>
      </c>
      <c r="D774" s="43" t="s">
        <v>1085</v>
      </c>
      <c r="E774" s="32">
        <v>45473</v>
      </c>
      <c r="F774" s="33">
        <v>90</v>
      </c>
      <c r="G774" s="34">
        <v>10</v>
      </c>
      <c r="H774" s="35">
        <f>+F774/G774</f>
        <v>9</v>
      </c>
      <c r="I774" s="33">
        <v>246.68707599999999</v>
      </c>
      <c r="J774" s="33">
        <v>527.90567999999996</v>
      </c>
      <c r="K774" s="33">
        <v>0</v>
      </c>
      <c r="L774" s="33">
        <v>2.2116E-2</v>
      </c>
      <c r="M774" s="33">
        <v>-11.480392999999999</v>
      </c>
      <c r="N774" s="35">
        <f>+M774-O774</f>
        <v>12.752952000000001</v>
      </c>
      <c r="O774" s="33">
        <v>-24.233345</v>
      </c>
      <c r="P774" s="36">
        <v>0</v>
      </c>
      <c r="Q774" s="36">
        <v>0</v>
      </c>
      <c r="R774" s="37">
        <f>SUM(P774:Q774)</f>
        <v>0</v>
      </c>
      <c r="S774" s="36"/>
      <c r="T774" s="38">
        <v>271</v>
      </c>
    </row>
    <row r="775" spans="2:20" ht="15.6" x14ac:dyDescent="0.3">
      <c r="B775" s="54">
        <f t="shared" si="192"/>
        <v>5</v>
      </c>
      <c r="C775" s="30" t="s">
        <v>1086</v>
      </c>
      <c r="D775" s="31" t="s">
        <v>1087</v>
      </c>
      <c r="E775" s="32">
        <v>45473</v>
      </c>
      <c r="F775" s="33">
        <v>482.58418999999998</v>
      </c>
      <c r="G775" s="34">
        <v>10</v>
      </c>
      <c r="H775" s="35">
        <f t="shared" si="189"/>
        <v>48.258418999999996</v>
      </c>
      <c r="I775" s="33">
        <v>1296.548</v>
      </c>
      <c r="J775" s="33">
        <v>2961.9639999999999</v>
      </c>
      <c r="K775" s="33">
        <v>6212.1859999999997</v>
      </c>
      <c r="L775" s="33">
        <v>242.55099999999999</v>
      </c>
      <c r="M775" s="33">
        <v>221.125</v>
      </c>
      <c r="N775" s="35">
        <f t="shared" si="190"/>
        <v>92.181999999999988</v>
      </c>
      <c r="O775" s="33">
        <v>128.94300000000001</v>
      </c>
      <c r="P775" s="36">
        <v>15</v>
      </c>
      <c r="Q775" s="36">
        <v>0</v>
      </c>
      <c r="R775" s="37">
        <f t="shared" si="191"/>
        <v>15</v>
      </c>
      <c r="S775" s="36"/>
      <c r="T775" s="38">
        <v>2224</v>
      </c>
    </row>
    <row r="776" spans="2:20" ht="15.6" x14ac:dyDescent="0.3">
      <c r="B776" s="54">
        <f t="shared" si="192"/>
        <v>6</v>
      </c>
      <c r="C776" s="30" t="s">
        <v>1088</v>
      </c>
      <c r="D776" s="43" t="s">
        <v>1089</v>
      </c>
      <c r="E776" s="32">
        <v>45473</v>
      </c>
      <c r="F776" s="33">
        <v>282.66230999999999</v>
      </c>
      <c r="G776" s="34">
        <v>10</v>
      </c>
      <c r="H776" s="35">
        <f>+F776/G776</f>
        <v>28.266230999999998</v>
      </c>
      <c r="I776" s="33">
        <v>847.749638</v>
      </c>
      <c r="J776" s="33">
        <v>1066.905334</v>
      </c>
      <c r="K776" s="33">
        <v>0</v>
      </c>
      <c r="L776" s="33">
        <v>3.8279999999999998E-3</v>
      </c>
      <c r="M776" s="33">
        <v>2.4531770000000002</v>
      </c>
      <c r="N776" s="35">
        <f>+M776-O776</f>
        <v>-40.180042999999998</v>
      </c>
      <c r="O776" s="33">
        <v>42.633220000000001</v>
      </c>
      <c r="P776" s="36">
        <v>0</v>
      </c>
      <c r="Q776" s="36">
        <v>0</v>
      </c>
      <c r="R776" s="37">
        <f>SUM(P776:Q776)</f>
        <v>0</v>
      </c>
      <c r="S776" s="36"/>
      <c r="T776" s="38">
        <v>2315</v>
      </c>
    </row>
    <row r="777" spans="2:20" ht="15.6" x14ac:dyDescent="0.3">
      <c r="B777" s="54">
        <f t="shared" si="192"/>
        <v>7</v>
      </c>
      <c r="C777" s="54" t="s">
        <v>1090</v>
      </c>
      <c r="D777" s="31" t="s">
        <v>1091</v>
      </c>
      <c r="E777" s="32">
        <v>45473</v>
      </c>
      <c r="F777" s="33">
        <v>73.493409999999997</v>
      </c>
      <c r="G777" s="34">
        <v>10</v>
      </c>
      <c r="H777" s="35">
        <f t="shared" si="189"/>
        <v>7.3493409999999999</v>
      </c>
      <c r="I777" s="33">
        <v>666.00444800000002</v>
      </c>
      <c r="J777" s="33">
        <v>754.94234300000005</v>
      </c>
      <c r="K777" s="33">
        <v>578.66700000000003</v>
      </c>
      <c r="L777" s="33">
        <v>1.055534</v>
      </c>
      <c r="M777" s="33">
        <v>102.714778</v>
      </c>
      <c r="N777" s="35">
        <f t="shared" si="190"/>
        <v>3.8648799999999994</v>
      </c>
      <c r="O777" s="33">
        <v>98.849897999999996</v>
      </c>
      <c r="P777" s="36">
        <v>20</v>
      </c>
      <c r="Q777" s="36">
        <v>0</v>
      </c>
      <c r="R777" s="37">
        <f t="shared" si="191"/>
        <v>20</v>
      </c>
      <c r="S777" s="36"/>
      <c r="T777" s="38">
        <v>329</v>
      </c>
    </row>
    <row r="778" spans="2:20" ht="15.6" x14ac:dyDescent="0.3">
      <c r="B778" s="54">
        <f t="shared" si="192"/>
        <v>8</v>
      </c>
      <c r="C778" s="30" t="s">
        <v>1092</v>
      </c>
      <c r="D778" s="31" t="s">
        <v>1093</v>
      </c>
      <c r="E778" s="32">
        <v>45657</v>
      </c>
      <c r="F778" s="33">
        <v>3611.0825399999999</v>
      </c>
      <c r="G778" s="34">
        <v>10</v>
      </c>
      <c r="H778" s="35">
        <f t="shared" si="189"/>
        <v>361.10825399999999</v>
      </c>
      <c r="I778" s="33">
        <v>16739.655116999998</v>
      </c>
      <c r="J778" s="33">
        <v>31704.530164</v>
      </c>
      <c r="K778" s="33">
        <v>23067.766232000002</v>
      </c>
      <c r="L778" s="33">
        <v>1022.203466</v>
      </c>
      <c r="M778" s="33">
        <v>6758.8990889999995</v>
      </c>
      <c r="N778" s="35">
        <f t="shared" si="190"/>
        <v>654.70103399999971</v>
      </c>
      <c r="O778" s="33">
        <v>6104.1980549999998</v>
      </c>
      <c r="P778" s="36">
        <v>0</v>
      </c>
      <c r="Q778" s="36">
        <v>0</v>
      </c>
      <c r="R778" s="37">
        <f t="shared" ref="R778" si="193">SUM(P778:Q778)</f>
        <v>0</v>
      </c>
      <c r="S778" s="36"/>
      <c r="T778" s="38">
        <v>2742</v>
      </c>
    </row>
    <row r="779" spans="2:20" ht="15.6" x14ac:dyDescent="0.3">
      <c r="B779" s="54">
        <f t="shared" si="192"/>
        <v>9</v>
      </c>
      <c r="C779" s="54" t="s">
        <v>1094</v>
      </c>
      <c r="D779" s="31" t="s">
        <v>1095</v>
      </c>
      <c r="E779" s="32">
        <v>45473</v>
      </c>
      <c r="F779" s="33">
        <v>180</v>
      </c>
      <c r="G779" s="34">
        <v>10</v>
      </c>
      <c r="H779" s="35">
        <f t="shared" si="189"/>
        <v>18</v>
      </c>
      <c r="I779" s="33">
        <v>14401.06</v>
      </c>
      <c r="J779" s="33">
        <v>16114.767</v>
      </c>
      <c r="K779" s="33">
        <v>728.524</v>
      </c>
      <c r="L779" s="33">
        <v>0</v>
      </c>
      <c r="M779" s="33">
        <v>297.75299999999999</v>
      </c>
      <c r="N779" s="35">
        <f t="shared" si="190"/>
        <v>-149.12400000000002</v>
      </c>
      <c r="O779" s="33">
        <v>446.87700000000001</v>
      </c>
      <c r="P779" s="36">
        <f>30+30+40</f>
        <v>100</v>
      </c>
      <c r="Q779" s="36">
        <v>0</v>
      </c>
      <c r="R779" s="37">
        <f t="shared" si="191"/>
        <v>100</v>
      </c>
      <c r="S779" s="36"/>
      <c r="T779" s="38">
        <v>608</v>
      </c>
    </row>
    <row r="780" spans="2:20" ht="15.6" x14ac:dyDescent="0.3">
      <c r="B780" s="54">
        <f t="shared" si="192"/>
        <v>10</v>
      </c>
      <c r="C780" s="54" t="s">
        <v>1096</v>
      </c>
      <c r="D780" s="31" t="s">
        <v>1097</v>
      </c>
      <c r="E780" s="32">
        <v>45473</v>
      </c>
      <c r="F780" s="33">
        <v>325.24200000000002</v>
      </c>
      <c r="G780" s="34">
        <v>10</v>
      </c>
      <c r="H780" s="35">
        <f t="shared" si="189"/>
        <v>32.5242</v>
      </c>
      <c r="I780" s="33">
        <v>45895.063999999998</v>
      </c>
      <c r="J780" s="33">
        <v>62268.686000000002</v>
      </c>
      <c r="K780" s="33">
        <v>15044.701999999999</v>
      </c>
      <c r="L780" s="33">
        <v>2463.8290000000002</v>
      </c>
      <c r="M780" s="33">
        <v>370.137</v>
      </c>
      <c r="N780" s="35">
        <f t="shared" si="190"/>
        <v>-55.326999999999998</v>
      </c>
      <c r="O780" s="33">
        <v>425.464</v>
      </c>
      <c r="P780" s="36">
        <v>0</v>
      </c>
      <c r="Q780" s="36">
        <v>0</v>
      </c>
      <c r="R780" s="37">
        <f t="shared" si="191"/>
        <v>0</v>
      </c>
      <c r="S780" s="36"/>
      <c r="T780" s="38"/>
    </row>
    <row r="781" spans="2:20" ht="15.6" x14ac:dyDescent="0.3">
      <c r="B781" s="54">
        <f t="shared" si="192"/>
        <v>11</v>
      </c>
      <c r="C781" s="30" t="s">
        <v>1098</v>
      </c>
      <c r="D781" s="31" t="s">
        <v>1099</v>
      </c>
      <c r="E781" s="32">
        <v>45473</v>
      </c>
      <c r="F781" s="33">
        <v>632.14382999999998</v>
      </c>
      <c r="G781" s="34">
        <v>10</v>
      </c>
      <c r="H781" s="35">
        <f t="shared" si="189"/>
        <v>63.214382999999998</v>
      </c>
      <c r="I781" s="33">
        <v>11916.016</v>
      </c>
      <c r="J781" s="33">
        <v>18286.651999999998</v>
      </c>
      <c r="K781" s="33">
        <v>23563.84</v>
      </c>
      <c r="L781" s="33">
        <v>441.05399999999997</v>
      </c>
      <c r="M781" s="33">
        <v>2248.8890000000001</v>
      </c>
      <c r="N781" s="35">
        <f t="shared" si="190"/>
        <v>886.81500000000005</v>
      </c>
      <c r="O781" s="33">
        <v>1362.0740000000001</v>
      </c>
      <c r="P781" s="36">
        <f>15+25</f>
        <v>40</v>
      </c>
      <c r="Q781" s="36">
        <v>0</v>
      </c>
      <c r="R781" s="37">
        <f t="shared" si="191"/>
        <v>40</v>
      </c>
      <c r="S781" s="36"/>
      <c r="T781" s="38">
        <v>2431</v>
      </c>
    </row>
    <row r="782" spans="2:20" ht="15.6" x14ac:dyDescent="0.3">
      <c r="B782" s="54">
        <f t="shared" si="192"/>
        <v>12</v>
      </c>
      <c r="C782" s="30" t="s">
        <v>1100</v>
      </c>
      <c r="D782" s="31" t="s">
        <v>1101</v>
      </c>
      <c r="E782" s="32">
        <v>45657</v>
      </c>
      <c r="F782" s="33">
        <v>388</v>
      </c>
      <c r="G782" s="34">
        <v>10</v>
      </c>
      <c r="H782" s="35">
        <f t="shared" si="189"/>
        <v>38.799999999999997</v>
      </c>
      <c r="I782" s="33">
        <v>5178.5569999999998</v>
      </c>
      <c r="J782" s="33">
        <v>32263.508000000002</v>
      </c>
      <c r="K782" s="33">
        <v>29413.004000000001</v>
      </c>
      <c r="L782" s="33">
        <v>2519.3440000000001</v>
      </c>
      <c r="M782" s="33">
        <v>-475.33499999999998</v>
      </c>
      <c r="N782" s="35">
        <f t="shared" si="190"/>
        <v>-43.888999999999953</v>
      </c>
      <c r="O782" s="33">
        <v>-431.44600000000003</v>
      </c>
      <c r="P782" s="36">
        <v>0</v>
      </c>
      <c r="Q782" s="36">
        <v>0</v>
      </c>
      <c r="R782" s="37">
        <f t="shared" si="191"/>
        <v>0</v>
      </c>
      <c r="S782" s="36"/>
      <c r="T782" s="38">
        <v>1539</v>
      </c>
    </row>
    <row r="783" spans="2:20" ht="15.6" x14ac:dyDescent="0.3">
      <c r="B783" s="54">
        <f t="shared" si="192"/>
        <v>13</v>
      </c>
      <c r="C783" s="54" t="s">
        <v>1102</v>
      </c>
      <c r="D783" s="31" t="s">
        <v>1103</v>
      </c>
      <c r="E783" s="32">
        <v>45473</v>
      </c>
      <c r="F783" s="33">
        <v>918</v>
      </c>
      <c r="G783" s="34">
        <v>10</v>
      </c>
      <c r="H783" s="35">
        <f t="shared" si="189"/>
        <v>91.8</v>
      </c>
      <c r="I783" s="33">
        <v>-167.834</v>
      </c>
      <c r="J783" s="33">
        <v>1010.126</v>
      </c>
      <c r="K783" s="33">
        <v>1120.8389999999999</v>
      </c>
      <c r="L783" s="33">
        <v>13.693</v>
      </c>
      <c r="M783" s="33">
        <v>-55.801000000000002</v>
      </c>
      <c r="N783" s="35">
        <f t="shared" si="190"/>
        <v>3.1890000000000001</v>
      </c>
      <c r="O783" s="33">
        <v>-58.99</v>
      </c>
      <c r="P783" s="36">
        <v>0</v>
      </c>
      <c r="Q783" s="36">
        <v>0</v>
      </c>
      <c r="R783" s="37">
        <f t="shared" si="191"/>
        <v>0</v>
      </c>
      <c r="S783" s="36"/>
      <c r="T783" s="38">
        <v>1096</v>
      </c>
    </row>
    <row r="784" spans="2:20" ht="15.6" x14ac:dyDescent="0.3">
      <c r="B784" s="54">
        <f t="shared" si="192"/>
        <v>14</v>
      </c>
      <c r="C784" s="54" t="s">
        <v>1104</v>
      </c>
      <c r="D784" s="31" t="s">
        <v>1105</v>
      </c>
      <c r="E784" s="32">
        <v>45473</v>
      </c>
      <c r="F784" s="33">
        <v>351.20548000000002</v>
      </c>
      <c r="G784" s="34">
        <v>10</v>
      </c>
      <c r="H784" s="35">
        <f t="shared" si="189"/>
        <v>35.120547999999999</v>
      </c>
      <c r="I784" s="33">
        <v>534.584743</v>
      </c>
      <c r="J784" s="33">
        <v>549.39069400000005</v>
      </c>
      <c r="K784" s="33">
        <v>0</v>
      </c>
      <c r="L784" s="33">
        <v>8.0009999999999994E-3</v>
      </c>
      <c r="M784" s="33">
        <v>-8.6447570000000002</v>
      </c>
      <c r="N784" s="35">
        <f t="shared" si="190"/>
        <v>0</v>
      </c>
      <c r="O784" s="33">
        <v>-8.6447570000000002</v>
      </c>
      <c r="P784" s="36">
        <v>0</v>
      </c>
      <c r="Q784" s="36">
        <v>0</v>
      </c>
      <c r="R784" s="37">
        <f t="shared" ref="R784" si="194">SUM(P784:Q784)</f>
        <v>0</v>
      </c>
      <c r="S784" s="36"/>
      <c r="T784" s="38">
        <v>3299</v>
      </c>
    </row>
    <row r="785" spans="2:20" ht="15.6" x14ac:dyDescent="0.3">
      <c r="B785" s="54">
        <f t="shared" si="192"/>
        <v>15</v>
      </c>
      <c r="C785" s="54" t="s">
        <v>1106</v>
      </c>
      <c r="D785" s="31" t="s">
        <v>1107</v>
      </c>
      <c r="E785" s="32">
        <v>45473</v>
      </c>
      <c r="F785" s="33">
        <v>352.71300000000002</v>
      </c>
      <c r="G785" s="34">
        <v>10</v>
      </c>
      <c r="H785" s="35">
        <f t="shared" si="189"/>
        <v>35.271300000000004</v>
      </c>
      <c r="I785" s="33">
        <v>1050.626</v>
      </c>
      <c r="J785" s="33">
        <v>2544.8229999999999</v>
      </c>
      <c r="K785" s="33">
        <v>1111.47</v>
      </c>
      <c r="L785" s="33">
        <v>30.82</v>
      </c>
      <c r="M785" s="33">
        <v>429.85300000000001</v>
      </c>
      <c r="N785" s="35">
        <f t="shared" si="190"/>
        <v>67.379000000000019</v>
      </c>
      <c r="O785" s="33">
        <v>362.47399999999999</v>
      </c>
      <c r="P785" s="36">
        <v>40</v>
      </c>
      <c r="Q785" s="36">
        <v>0</v>
      </c>
      <c r="R785" s="37">
        <f t="shared" si="191"/>
        <v>40</v>
      </c>
      <c r="S785" s="36"/>
      <c r="T785" s="38">
        <v>1155</v>
      </c>
    </row>
    <row r="786" spans="2:20" ht="15.6" x14ac:dyDescent="0.3">
      <c r="B786" s="25"/>
      <c r="C786" s="25"/>
      <c r="D786" s="25"/>
      <c r="E786" s="25"/>
      <c r="F786" s="25"/>
      <c r="G786" s="40"/>
      <c r="H786" s="41"/>
      <c r="I786" s="27"/>
      <c r="J786" s="27"/>
      <c r="K786" s="27"/>
      <c r="L786" s="27"/>
      <c r="M786" s="27"/>
      <c r="N786" s="42"/>
      <c r="O786" s="27"/>
      <c r="P786" s="27"/>
      <c r="Q786" s="27"/>
      <c r="R786" s="42"/>
      <c r="S786" s="27"/>
      <c r="T786" s="27"/>
    </row>
    <row r="787" spans="2:20" ht="18" x14ac:dyDescent="0.35">
      <c r="B787" s="25"/>
      <c r="C787" s="25"/>
      <c r="D787" s="53" t="s">
        <v>1127</v>
      </c>
      <c r="E787" s="25"/>
      <c r="F787" s="25"/>
      <c r="G787" s="40"/>
      <c r="H787" s="41"/>
      <c r="I787" s="27"/>
      <c r="J787" s="27"/>
      <c r="K787" s="27"/>
      <c r="L787" s="27"/>
      <c r="M787" s="27"/>
      <c r="N787" s="42"/>
      <c r="O787" s="27"/>
      <c r="P787" s="27"/>
      <c r="Q787" s="27"/>
      <c r="R787" s="42"/>
      <c r="S787" s="27"/>
      <c r="T787" s="27"/>
    </row>
    <row r="788" spans="2:20" ht="15.6" x14ac:dyDescent="0.3">
      <c r="B788" s="54">
        <v>1</v>
      </c>
      <c r="C788" s="30" t="s">
        <v>1108</v>
      </c>
      <c r="D788" s="31" t="s">
        <v>1109</v>
      </c>
      <c r="E788" s="32">
        <v>45473</v>
      </c>
      <c r="F788" s="33">
        <v>23.228000000000002</v>
      </c>
      <c r="G788" s="34">
        <v>10</v>
      </c>
      <c r="H788" s="35">
        <f t="shared" ref="H788:H790" si="195">+F788/G788</f>
        <v>2.3228</v>
      </c>
      <c r="I788" s="33">
        <v>-17.114463000000001</v>
      </c>
      <c r="J788" s="33">
        <v>65.033311999999995</v>
      </c>
      <c r="K788" s="33">
        <v>0</v>
      </c>
      <c r="L788" s="33">
        <v>0</v>
      </c>
      <c r="M788" s="33">
        <v>0.39490999999999998</v>
      </c>
      <c r="N788" s="35">
        <f t="shared" ref="N788:N790" si="196">+M788-O788</f>
        <v>6.1249999999999971E-2</v>
      </c>
      <c r="O788" s="33">
        <v>0.33366000000000001</v>
      </c>
      <c r="P788" s="36">
        <v>0</v>
      </c>
      <c r="Q788" s="36">
        <v>0</v>
      </c>
      <c r="R788" s="37">
        <f t="shared" ref="R788:R790" si="197">SUM(P788:Q788)</f>
        <v>0</v>
      </c>
      <c r="S788" s="36"/>
      <c r="T788" s="38"/>
    </row>
    <row r="789" spans="2:20" ht="15.6" x14ac:dyDescent="0.3">
      <c r="B789" s="54">
        <f>+B788+1</f>
        <v>2</v>
      </c>
      <c r="C789" s="30" t="s">
        <v>1110</v>
      </c>
      <c r="D789" s="31" t="s">
        <v>1111</v>
      </c>
      <c r="E789" s="32">
        <v>45473</v>
      </c>
      <c r="F789" s="33"/>
      <c r="G789" s="34">
        <v>5</v>
      </c>
      <c r="H789" s="35">
        <f t="shared" si="195"/>
        <v>0</v>
      </c>
      <c r="I789" s="33"/>
      <c r="J789" s="33"/>
      <c r="K789" s="33"/>
      <c r="L789" s="33"/>
      <c r="M789" s="33"/>
      <c r="N789" s="35">
        <f t="shared" si="196"/>
        <v>0</v>
      </c>
      <c r="O789" s="33"/>
      <c r="P789" s="36"/>
      <c r="Q789" s="36"/>
      <c r="R789" s="37">
        <f t="shared" si="197"/>
        <v>0</v>
      </c>
      <c r="S789" s="36"/>
      <c r="T789" s="38"/>
    </row>
    <row r="790" spans="2:20" ht="15.6" x14ac:dyDescent="0.3">
      <c r="B790" s="54">
        <f t="shared" ref="B790:B791" si="198">+B789+1</f>
        <v>3</v>
      </c>
      <c r="C790" s="54" t="s">
        <v>1112</v>
      </c>
      <c r="D790" s="31" t="s">
        <v>1113</v>
      </c>
      <c r="E790" s="32">
        <v>45473</v>
      </c>
      <c r="F790" s="33">
        <v>287.48133000000001</v>
      </c>
      <c r="G790" s="34">
        <v>10</v>
      </c>
      <c r="H790" s="35">
        <f t="shared" si="195"/>
        <v>28.748133000000003</v>
      </c>
      <c r="I790" s="33">
        <v>55.895580000000002</v>
      </c>
      <c r="J790" s="33">
        <f>80.640297+361.969039</f>
        <v>442.60933599999998</v>
      </c>
      <c r="K790" s="33">
        <v>1108.5598239999999</v>
      </c>
      <c r="L790" s="33">
        <v>19.365611000000001</v>
      </c>
      <c r="M790" s="33">
        <v>120.16433600000001</v>
      </c>
      <c r="N790" s="35">
        <f t="shared" si="196"/>
        <v>12.095032000000003</v>
      </c>
      <c r="O790" s="33">
        <v>108.069304</v>
      </c>
      <c r="P790" s="36">
        <v>0</v>
      </c>
      <c r="Q790" s="36">
        <v>0</v>
      </c>
      <c r="R790" s="37">
        <f t="shared" si="197"/>
        <v>0</v>
      </c>
      <c r="S790" s="36"/>
      <c r="T790" s="38">
        <v>2661</v>
      </c>
    </row>
    <row r="791" spans="2:20" ht="15.6" x14ac:dyDescent="0.3">
      <c r="B791" s="54">
        <f t="shared" si="198"/>
        <v>4</v>
      </c>
      <c r="C791" s="30" t="s">
        <v>1114</v>
      </c>
      <c r="D791" s="31" t="s">
        <v>1115</v>
      </c>
      <c r="E791" s="32">
        <v>45473</v>
      </c>
      <c r="F791" s="33"/>
      <c r="G791" s="34">
        <v>10</v>
      </c>
      <c r="H791" s="35">
        <f>+F791/G791</f>
        <v>0</v>
      </c>
      <c r="I791" s="33"/>
      <c r="J791" s="33"/>
      <c r="K791" s="33"/>
      <c r="L791" s="33"/>
      <c r="M791" s="33"/>
      <c r="N791" s="35">
        <f>+M791-O791</f>
        <v>0</v>
      </c>
      <c r="O791" s="33"/>
      <c r="P791" s="36"/>
      <c r="Q791" s="36"/>
      <c r="R791" s="37">
        <f>SUM(P791:Q791)</f>
        <v>0</v>
      </c>
      <c r="S791" s="36"/>
      <c r="T791" s="38"/>
    </row>
    <row r="792" spans="2:20" ht="15.6" x14ac:dyDescent="0.3">
      <c r="B792" s="25"/>
      <c r="C792" s="25"/>
      <c r="D792" s="25"/>
      <c r="E792" s="25"/>
      <c r="F792" s="25"/>
      <c r="G792" s="40"/>
      <c r="H792" s="41"/>
      <c r="I792" s="27"/>
      <c r="J792" s="27"/>
      <c r="K792" s="27"/>
      <c r="L792" s="27"/>
      <c r="M792" s="27"/>
      <c r="N792" s="42"/>
      <c r="O792" s="27"/>
      <c r="P792" s="27"/>
      <c r="Q792" s="27"/>
      <c r="R792" s="42"/>
      <c r="S792" s="27"/>
      <c r="T792" s="27"/>
    </row>
    <row r="793" spans="2:20" ht="15.6" x14ac:dyDescent="0.3">
      <c r="B793" s="44">
        <f>COUNT(B771:B792)</f>
        <v>19</v>
      </c>
      <c r="C793" s="44"/>
      <c r="D793" s="45"/>
      <c r="E793" s="45"/>
      <c r="F793" s="45">
        <f>SUM(F771:F792)</f>
        <v>8162.9088229999988</v>
      </c>
      <c r="G793" s="46"/>
      <c r="H793" s="47">
        <f t="shared" ref="H793:O793" si="199">SUM(H771:H792)</f>
        <v>816.29088229999991</v>
      </c>
      <c r="I793" s="45">
        <f t="shared" si="199"/>
        <v>99328.489339999986</v>
      </c>
      <c r="J793" s="45">
        <f t="shared" si="199"/>
        <v>171627.540175</v>
      </c>
      <c r="K793" s="45">
        <f t="shared" si="199"/>
        <v>103255.909354</v>
      </c>
      <c r="L793" s="45">
        <f t="shared" si="199"/>
        <v>6770.6363090000004</v>
      </c>
      <c r="M793" s="45">
        <f t="shared" si="199"/>
        <v>9802.2669929999993</v>
      </c>
      <c r="N793" s="48">
        <f t="shared" si="199"/>
        <v>1459.6103039999998</v>
      </c>
      <c r="O793" s="45">
        <f t="shared" si="199"/>
        <v>8342.6566890000013</v>
      </c>
      <c r="P793" s="49"/>
      <c r="Q793" s="49"/>
      <c r="R793" s="50"/>
      <c r="S793" s="49"/>
      <c r="T793" s="51">
        <f>SUM(T771:T792)</f>
        <v>22374</v>
      </c>
    </row>
    <row r="794" spans="2:20" ht="15.6" x14ac:dyDescent="0.3">
      <c r="B794" s="25"/>
      <c r="C794" s="25"/>
      <c r="D794" s="25"/>
      <c r="E794" s="25"/>
      <c r="F794" s="25"/>
      <c r="G794" s="25"/>
      <c r="H794" s="26"/>
      <c r="I794" s="27"/>
      <c r="J794" s="27"/>
      <c r="K794" s="27"/>
      <c r="L794" s="27"/>
      <c r="M794" s="27"/>
      <c r="N794" s="28"/>
      <c r="O794" s="27"/>
      <c r="P794" s="27"/>
      <c r="Q794" s="27"/>
      <c r="R794" s="28"/>
      <c r="S794" s="27"/>
      <c r="T794" s="27"/>
    </row>
    <row r="796" spans="2:20" ht="18" x14ac:dyDescent="0.35">
      <c r="B796" s="25"/>
      <c r="C796" s="29">
        <v>36</v>
      </c>
      <c r="D796" s="29" t="s">
        <v>1116</v>
      </c>
      <c r="E796" s="55"/>
      <c r="F796" s="55"/>
      <c r="G796" s="40"/>
      <c r="H796" s="41"/>
      <c r="I796" s="27"/>
      <c r="J796" s="27"/>
      <c r="K796" s="27"/>
      <c r="L796" s="27"/>
      <c r="M796" s="27"/>
      <c r="N796" s="42"/>
      <c r="O796" s="27"/>
      <c r="P796" s="27"/>
      <c r="Q796" s="27"/>
      <c r="R796" s="42"/>
      <c r="S796" s="27"/>
      <c r="T796" s="27"/>
    </row>
    <row r="797" spans="2:20" ht="15.6" x14ac:dyDescent="0.3">
      <c r="B797" s="25"/>
      <c r="C797" s="25"/>
      <c r="D797" s="25"/>
      <c r="E797" s="25"/>
      <c r="F797" s="25"/>
      <c r="G797" s="40"/>
      <c r="H797" s="41"/>
      <c r="I797" s="27"/>
      <c r="J797" s="27"/>
      <c r="K797" s="27"/>
      <c r="L797" s="27"/>
      <c r="M797" s="27"/>
      <c r="N797" s="42"/>
      <c r="O797" s="27"/>
      <c r="P797" s="27"/>
      <c r="Q797" s="27"/>
      <c r="R797" s="42"/>
      <c r="S797" s="27"/>
      <c r="T797" s="27"/>
    </row>
    <row r="798" spans="2:20" ht="15.6" x14ac:dyDescent="0.3">
      <c r="B798" s="54">
        <v>1</v>
      </c>
      <c r="C798" s="54" t="s">
        <v>1117</v>
      </c>
      <c r="D798" s="31" t="s">
        <v>1118</v>
      </c>
      <c r="E798" s="32">
        <v>45473</v>
      </c>
      <c r="F798" s="33">
        <v>274.28429999999997</v>
      </c>
      <c r="G798" s="34">
        <v>10</v>
      </c>
      <c r="H798" s="35">
        <f t="shared" ref="H798:H802" si="200">+F798/G798</f>
        <v>27.428429999999999</v>
      </c>
      <c r="I798" s="33">
        <v>972.55226100000004</v>
      </c>
      <c r="J798" s="33">
        <v>1220.493827</v>
      </c>
      <c r="K798" s="33">
        <v>1666.3831029999999</v>
      </c>
      <c r="L798" s="33">
        <v>9.613251</v>
      </c>
      <c r="M798" s="33">
        <v>89.798547999999997</v>
      </c>
      <c r="N798" s="35">
        <f t="shared" ref="N798:N802" si="201">+M798-O798</f>
        <v>2.2989029999999957</v>
      </c>
      <c r="O798" s="33">
        <v>87.499645000000001</v>
      </c>
      <c r="P798" s="36">
        <v>0</v>
      </c>
      <c r="Q798" s="36">
        <v>0</v>
      </c>
      <c r="R798" s="37">
        <f t="shared" ref="R798" si="202">SUM(P798:Q798)</f>
        <v>0</v>
      </c>
      <c r="S798" s="36"/>
      <c r="T798" s="38">
        <v>334</v>
      </c>
    </row>
    <row r="799" spans="2:20" ht="15.6" x14ac:dyDescent="0.3">
      <c r="B799" s="54">
        <f>+B798+1</f>
        <v>2</v>
      </c>
      <c r="C799" s="54" t="s">
        <v>1119</v>
      </c>
      <c r="D799" s="31" t="s">
        <v>1120</v>
      </c>
      <c r="E799" s="32">
        <v>45473</v>
      </c>
      <c r="F799" s="33"/>
      <c r="G799" s="34">
        <v>10</v>
      </c>
      <c r="H799" s="35">
        <f t="shared" si="200"/>
        <v>0</v>
      </c>
      <c r="I799" s="33"/>
      <c r="J799" s="33"/>
      <c r="K799" s="33"/>
      <c r="L799" s="33"/>
      <c r="M799" s="33"/>
      <c r="N799" s="35">
        <f t="shared" si="201"/>
        <v>0</v>
      </c>
      <c r="O799" s="33"/>
      <c r="P799" s="36"/>
      <c r="Q799" s="36"/>
      <c r="R799" s="37">
        <f t="shared" ref="R799" si="203">SUM(P799:Q799)</f>
        <v>0</v>
      </c>
      <c r="S799" s="36"/>
      <c r="T799" s="38"/>
    </row>
    <row r="800" spans="2:20" ht="15.6" x14ac:dyDescent="0.3">
      <c r="B800" s="54">
        <f>+B799+1</f>
        <v>3</v>
      </c>
      <c r="C800" s="54" t="s">
        <v>1121</v>
      </c>
      <c r="D800" s="31" t="s">
        <v>1122</v>
      </c>
      <c r="E800" s="32">
        <v>45473</v>
      </c>
      <c r="F800" s="33">
        <v>200</v>
      </c>
      <c r="G800" s="34">
        <v>10</v>
      </c>
      <c r="H800" s="35">
        <f t="shared" si="200"/>
        <v>20</v>
      </c>
      <c r="I800" s="33">
        <v>411.36033700000002</v>
      </c>
      <c r="J800" s="33">
        <v>684.97722699999997</v>
      </c>
      <c r="K800" s="33">
        <v>833.80127400000003</v>
      </c>
      <c r="L800" s="33">
        <v>20.742896000000002</v>
      </c>
      <c r="M800" s="33">
        <v>80.595545999999999</v>
      </c>
      <c r="N800" s="35">
        <f t="shared" si="201"/>
        <v>41.331372000000002</v>
      </c>
      <c r="O800" s="33">
        <v>39.264173999999997</v>
      </c>
      <c r="P800" s="36">
        <v>0</v>
      </c>
      <c r="Q800" s="36">
        <v>0</v>
      </c>
      <c r="R800" s="37">
        <f t="shared" ref="R800" si="204">SUM(P800:Q800)</f>
        <v>0</v>
      </c>
      <c r="S800" s="36"/>
      <c r="T800" s="38">
        <v>97</v>
      </c>
    </row>
    <row r="801" spans="2:20" ht="15.6" x14ac:dyDescent="0.3">
      <c r="B801" s="54">
        <f t="shared" ref="B801:B802" si="205">+B800+1</f>
        <v>4</v>
      </c>
      <c r="C801" s="54" t="s">
        <v>1123</v>
      </c>
      <c r="D801" s="31" t="s">
        <v>1124</v>
      </c>
      <c r="E801" s="32">
        <v>45473</v>
      </c>
      <c r="F801" s="33">
        <v>2166.7324199999998</v>
      </c>
      <c r="G801" s="34">
        <v>10</v>
      </c>
      <c r="H801" s="35">
        <f t="shared" si="200"/>
        <v>216.67324199999999</v>
      </c>
      <c r="I801" s="33">
        <v>3456.4857419999998</v>
      </c>
      <c r="J801" s="33">
        <v>5142.436017</v>
      </c>
      <c r="K801" s="33">
        <v>0</v>
      </c>
      <c r="L801" s="33">
        <v>6.3870000000000003E-3</v>
      </c>
      <c r="M801" s="33">
        <v>-19.170280999999999</v>
      </c>
      <c r="N801" s="35">
        <f t="shared" si="201"/>
        <v>0</v>
      </c>
      <c r="O801" s="33">
        <v>-19.170280999999999</v>
      </c>
      <c r="P801" s="36">
        <v>0</v>
      </c>
      <c r="Q801" s="36">
        <v>0</v>
      </c>
      <c r="R801" s="37">
        <f t="shared" ref="R801" si="206">SUM(P801:Q801)</f>
        <v>0</v>
      </c>
      <c r="S801" s="36"/>
      <c r="T801" s="38">
        <v>86</v>
      </c>
    </row>
    <row r="802" spans="2:20" ht="15.6" x14ac:dyDescent="0.3">
      <c r="B802" s="54">
        <f t="shared" si="205"/>
        <v>5</v>
      </c>
      <c r="C802" s="30" t="s">
        <v>1125</v>
      </c>
      <c r="D802" s="31" t="s">
        <v>1126</v>
      </c>
      <c r="E802" s="32">
        <v>45473</v>
      </c>
      <c r="F802" s="33">
        <v>1234.4444000000001</v>
      </c>
      <c r="G802" s="34">
        <v>10</v>
      </c>
      <c r="H802" s="35">
        <f t="shared" si="200"/>
        <v>123.44444000000001</v>
      </c>
      <c r="I802" s="33">
        <v>1768.54</v>
      </c>
      <c r="J802" s="33">
        <v>3911.248</v>
      </c>
      <c r="K802" s="33">
        <v>7369.375</v>
      </c>
      <c r="L802" s="33">
        <v>45.661999999999999</v>
      </c>
      <c r="M802" s="33">
        <v>279.714</v>
      </c>
      <c r="N802" s="35">
        <f t="shared" si="201"/>
        <v>123.84199999999998</v>
      </c>
      <c r="O802" s="33">
        <v>155.87200000000001</v>
      </c>
      <c r="P802" s="36">
        <v>0</v>
      </c>
      <c r="Q802" s="36">
        <v>0</v>
      </c>
      <c r="R802" s="37">
        <f t="shared" ref="R802" si="207">SUM(P802:Q802)</f>
        <v>0</v>
      </c>
      <c r="S802" s="36"/>
      <c r="T802" s="38">
        <v>123</v>
      </c>
    </row>
    <row r="804" spans="2:20" ht="15.6" x14ac:dyDescent="0.3">
      <c r="B804" s="44">
        <f>COUNT(B798:B803)</f>
        <v>5</v>
      </c>
      <c r="C804" s="44"/>
      <c r="D804" s="45"/>
      <c r="E804" s="45"/>
      <c r="F804" s="45">
        <f>SUM(F798:F803)</f>
        <v>3875.4611199999999</v>
      </c>
      <c r="G804" s="46"/>
      <c r="H804" s="47">
        <f t="shared" ref="H804:O804" si="208">SUM(H798:H803)</f>
        <v>387.54611199999999</v>
      </c>
      <c r="I804" s="45">
        <f t="shared" si="208"/>
        <v>6608.9383399999997</v>
      </c>
      <c r="J804" s="45">
        <f t="shared" si="208"/>
        <v>10959.155070999999</v>
      </c>
      <c r="K804" s="45">
        <f t="shared" si="208"/>
        <v>9869.5593769999996</v>
      </c>
      <c r="L804" s="45">
        <f t="shared" si="208"/>
        <v>76.024534000000003</v>
      </c>
      <c r="M804" s="45">
        <f t="shared" si="208"/>
        <v>430.93781300000001</v>
      </c>
      <c r="N804" s="48">
        <f t="shared" si="208"/>
        <v>167.47227499999997</v>
      </c>
      <c r="O804" s="45">
        <f t="shared" si="208"/>
        <v>263.46553800000004</v>
      </c>
      <c r="P804" s="49"/>
      <c r="Q804" s="49"/>
      <c r="R804" s="50"/>
      <c r="S804" s="49"/>
      <c r="T804" s="51">
        <f>SUM(T798:T803)</f>
        <v>640</v>
      </c>
    </row>
  </sheetData>
  <mergeCells count="2">
    <mergeCell ref="D1:F1"/>
    <mergeCell ref="D64:F64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2025-04-28T06:05:10Z</dcterms:created>
  <dcterms:modified xsi:type="dcterms:W3CDTF">2025-04-29T12:26:34Z</dcterms:modified>
</cp:coreProperties>
</file>