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.asghar\Desktop\"/>
    </mc:Choice>
  </mc:AlternateContent>
  <bookViews>
    <workbookView xWindow="0" yWindow="0" windowWidth="23040" windowHeight="9192"/>
  </bookViews>
  <sheets>
    <sheet name="Master Data Entry" sheetId="1" r:id="rId1"/>
  </sheets>
  <definedNames>
    <definedName name="_xlnm.Print_Area" localSheetId="0">'Master Data Entry'!$B$6:$T$799</definedName>
    <definedName name="_xlnm.Print_Titles" localSheetId="0">'Master Data Entry'!$1:$5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807" i="1" l="1"/>
  <c r="O807" i="1"/>
  <c r="R805" i="1"/>
  <c r="N805" i="1"/>
  <c r="F805" i="1"/>
  <c r="R804" i="1"/>
  <c r="N804" i="1"/>
  <c r="F804" i="1"/>
  <c r="H804" i="1" s="1"/>
  <c r="B804" i="1"/>
  <c r="B805" i="1" s="1"/>
  <c r="B807" i="1" s="1"/>
  <c r="R803" i="1"/>
  <c r="N803" i="1"/>
  <c r="F803" i="1"/>
  <c r="T798" i="1"/>
  <c r="O798" i="1"/>
  <c r="L798" i="1"/>
  <c r="K798" i="1"/>
  <c r="I798" i="1"/>
  <c r="R796" i="1"/>
  <c r="N796" i="1"/>
  <c r="J796" i="1"/>
  <c r="J798" i="1" s="1"/>
  <c r="F796" i="1"/>
  <c r="R795" i="1"/>
  <c r="N795" i="1"/>
  <c r="H795" i="1"/>
  <c r="B795" i="1"/>
  <c r="B796" i="1" s="1"/>
  <c r="R794" i="1"/>
  <c r="N794" i="1"/>
  <c r="H794" i="1"/>
  <c r="R791" i="1"/>
  <c r="N791" i="1"/>
  <c r="H791" i="1"/>
  <c r="R790" i="1"/>
  <c r="N790" i="1"/>
  <c r="F790" i="1"/>
  <c r="H790" i="1" s="1"/>
  <c r="R789" i="1"/>
  <c r="N789" i="1"/>
  <c r="H789" i="1"/>
  <c r="R788" i="1"/>
  <c r="N788" i="1"/>
  <c r="F788" i="1"/>
  <c r="H788" i="1" s="1"/>
  <c r="P787" i="1"/>
  <c r="R787" i="1" s="1"/>
  <c r="N787" i="1"/>
  <c r="H787" i="1"/>
  <c r="R786" i="1"/>
  <c r="N786" i="1"/>
  <c r="F786" i="1"/>
  <c r="R785" i="1"/>
  <c r="N785" i="1"/>
  <c r="H785" i="1"/>
  <c r="P784" i="1"/>
  <c r="N784" i="1"/>
  <c r="H784" i="1"/>
  <c r="P783" i="1"/>
  <c r="R783" i="1" s="1"/>
  <c r="N783" i="1"/>
  <c r="H783" i="1"/>
  <c r="R782" i="1"/>
  <c r="M782" i="1"/>
  <c r="N782" i="1" s="1"/>
  <c r="F782" i="1"/>
  <c r="H782" i="1" s="1"/>
  <c r="R781" i="1"/>
  <c r="N781" i="1"/>
  <c r="H781" i="1"/>
  <c r="R780" i="1"/>
  <c r="N780" i="1"/>
  <c r="H780" i="1"/>
  <c r="R779" i="1"/>
  <c r="N779" i="1"/>
  <c r="F779" i="1"/>
  <c r="R778" i="1"/>
  <c r="N778" i="1"/>
  <c r="F778" i="1"/>
  <c r="H778" i="1" s="1"/>
  <c r="R777" i="1"/>
  <c r="N777" i="1"/>
  <c r="F777" i="1"/>
  <c r="R776" i="1"/>
  <c r="N776" i="1"/>
  <c r="F776" i="1"/>
  <c r="H776" i="1" s="1"/>
  <c r="R775" i="1"/>
  <c r="N775" i="1"/>
  <c r="F775" i="1"/>
  <c r="B775" i="1"/>
  <c r="R774" i="1"/>
  <c r="N774" i="1"/>
  <c r="F774" i="1"/>
  <c r="H774" i="1" s="1"/>
  <c r="T769" i="1"/>
  <c r="O769" i="1"/>
  <c r="M769" i="1"/>
  <c r="L769" i="1"/>
  <c r="K769" i="1"/>
  <c r="J769" i="1"/>
  <c r="I769" i="1"/>
  <c r="R767" i="1"/>
  <c r="N767" i="1"/>
  <c r="H767" i="1"/>
  <c r="R764" i="1"/>
  <c r="N764" i="1"/>
  <c r="F764" i="1"/>
  <c r="R763" i="1"/>
  <c r="N763" i="1"/>
  <c r="F763" i="1"/>
  <c r="R762" i="1"/>
  <c r="N762" i="1"/>
  <c r="F762" i="1"/>
  <c r="Q761" i="1"/>
  <c r="P761" i="1"/>
  <c r="N761" i="1"/>
  <c r="F761" i="1"/>
  <c r="H761" i="1" s="1"/>
  <c r="Q760" i="1"/>
  <c r="P760" i="1"/>
  <c r="N760" i="1"/>
  <c r="F760" i="1"/>
  <c r="H760" i="1" s="1"/>
  <c r="R759" i="1"/>
  <c r="N759" i="1"/>
  <c r="F759" i="1"/>
  <c r="H759" i="1" s="1"/>
  <c r="R758" i="1"/>
  <c r="N758" i="1"/>
  <c r="F758" i="1"/>
  <c r="B758" i="1"/>
  <c r="R757" i="1"/>
  <c r="N757" i="1"/>
  <c r="F757" i="1"/>
  <c r="H757" i="1" s="1"/>
  <c r="T752" i="1"/>
  <c r="O752" i="1"/>
  <c r="M752" i="1"/>
  <c r="L752" i="1"/>
  <c r="K752" i="1"/>
  <c r="I752" i="1"/>
  <c r="R750" i="1"/>
  <c r="N750" i="1"/>
  <c r="H750" i="1"/>
  <c r="R747" i="1"/>
  <c r="N747" i="1"/>
  <c r="H747" i="1"/>
  <c r="R746" i="1"/>
  <c r="N746" i="1"/>
  <c r="F746" i="1"/>
  <c r="H746" i="1" s="1"/>
  <c r="P745" i="1"/>
  <c r="N745" i="1"/>
  <c r="H745" i="1"/>
  <c r="R744" i="1"/>
  <c r="N744" i="1"/>
  <c r="J744" i="1"/>
  <c r="H744" i="1"/>
  <c r="Q743" i="1"/>
  <c r="N743" i="1"/>
  <c r="H743" i="1"/>
  <c r="R742" i="1"/>
  <c r="N742" i="1"/>
  <c r="F742" i="1"/>
  <c r="H742" i="1" s="1"/>
  <c r="R741" i="1"/>
  <c r="N741" i="1"/>
  <c r="F741" i="1"/>
  <c r="P740" i="1"/>
  <c r="R740" i="1" s="1"/>
  <c r="N740" i="1"/>
  <c r="J740" i="1"/>
  <c r="H740" i="1"/>
  <c r="R739" i="1"/>
  <c r="N739" i="1"/>
  <c r="F739" i="1"/>
  <c r="H739" i="1" s="1"/>
  <c r="R738" i="1"/>
  <c r="N738" i="1"/>
  <c r="F738" i="1"/>
  <c r="P737" i="1"/>
  <c r="N737" i="1"/>
  <c r="H737" i="1"/>
  <c r="R736" i="1"/>
  <c r="N736" i="1"/>
  <c r="F736" i="1"/>
  <c r="H736" i="1" s="1"/>
  <c r="P735" i="1"/>
  <c r="N735" i="1"/>
  <c r="H735" i="1"/>
  <c r="P734" i="1"/>
  <c r="N734" i="1"/>
  <c r="H734" i="1"/>
  <c r="R733" i="1"/>
  <c r="N733" i="1"/>
  <c r="F733" i="1"/>
  <c r="P732" i="1"/>
  <c r="R732" i="1" s="1"/>
  <c r="N732" i="1"/>
  <c r="H732" i="1"/>
  <c r="R731" i="1"/>
  <c r="N731" i="1"/>
  <c r="F731" i="1"/>
  <c r="H731" i="1" s="1"/>
  <c r="R730" i="1"/>
  <c r="N730" i="1"/>
  <c r="F730" i="1"/>
  <c r="R729" i="1"/>
  <c r="N729" i="1"/>
  <c r="H729" i="1"/>
  <c r="R728" i="1"/>
  <c r="N728" i="1"/>
  <c r="H728" i="1"/>
  <c r="R727" i="1"/>
  <c r="N727" i="1"/>
  <c r="F727" i="1"/>
  <c r="R726" i="1"/>
  <c r="N726" i="1"/>
  <c r="F726" i="1"/>
  <c r="H726" i="1" s="1"/>
  <c r="B726" i="1"/>
  <c r="B727" i="1" s="1"/>
  <c r="B728" i="1" s="1"/>
  <c r="B729" i="1" s="1"/>
  <c r="B730" i="1" s="1"/>
  <c r="B731" i="1" s="1"/>
  <c r="B732" i="1" s="1"/>
  <c r="B733" i="1" s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R725" i="1"/>
  <c r="N725" i="1"/>
  <c r="F725" i="1"/>
  <c r="H725" i="1" s="1"/>
  <c r="T720" i="1"/>
  <c r="O720" i="1"/>
  <c r="M720" i="1"/>
  <c r="L720" i="1"/>
  <c r="K720" i="1"/>
  <c r="J720" i="1"/>
  <c r="I720" i="1"/>
  <c r="R718" i="1"/>
  <c r="N718" i="1"/>
  <c r="F718" i="1"/>
  <c r="H718" i="1" s="1"/>
  <c r="R715" i="1"/>
  <c r="N715" i="1"/>
  <c r="H715" i="1"/>
  <c r="P714" i="1"/>
  <c r="R714" i="1" s="1"/>
  <c r="N714" i="1"/>
  <c r="F714" i="1"/>
  <c r="H714" i="1" s="1"/>
  <c r="R713" i="1"/>
  <c r="N713" i="1"/>
  <c r="F713" i="1"/>
  <c r="R712" i="1"/>
  <c r="N712" i="1"/>
  <c r="F712" i="1"/>
  <c r="H712" i="1" s="1"/>
  <c r="B712" i="1"/>
  <c r="B713" i="1" s="1"/>
  <c r="B714" i="1" s="1"/>
  <c r="P711" i="1"/>
  <c r="N711" i="1"/>
  <c r="F711" i="1"/>
  <c r="H711" i="1" s="1"/>
  <c r="T706" i="1"/>
  <c r="O706" i="1"/>
  <c r="M706" i="1"/>
  <c r="L706" i="1"/>
  <c r="K706" i="1"/>
  <c r="J706" i="1"/>
  <c r="I706" i="1"/>
  <c r="R704" i="1"/>
  <c r="N704" i="1"/>
  <c r="H704" i="1"/>
  <c r="R701" i="1"/>
  <c r="N701" i="1"/>
  <c r="F701" i="1"/>
  <c r="B701" i="1"/>
  <c r="B706" i="1" s="1"/>
  <c r="Q700" i="1"/>
  <c r="R700" i="1" s="1"/>
  <c r="N700" i="1"/>
  <c r="F700" i="1"/>
  <c r="T695" i="1"/>
  <c r="O695" i="1"/>
  <c r="M695" i="1"/>
  <c r="L695" i="1"/>
  <c r="K695" i="1"/>
  <c r="J695" i="1"/>
  <c r="I695" i="1"/>
  <c r="R693" i="1"/>
  <c r="N693" i="1"/>
  <c r="F693" i="1"/>
  <c r="B693" i="1"/>
  <c r="R692" i="1"/>
  <c r="N692" i="1"/>
  <c r="H692" i="1"/>
  <c r="R689" i="1"/>
  <c r="N689" i="1"/>
  <c r="H689" i="1"/>
  <c r="R688" i="1"/>
  <c r="N688" i="1"/>
  <c r="F688" i="1"/>
  <c r="R687" i="1"/>
  <c r="N687" i="1"/>
  <c r="F687" i="1"/>
  <c r="H687" i="1" s="1"/>
  <c r="R686" i="1"/>
  <c r="N686" i="1"/>
  <c r="H686" i="1"/>
  <c r="R685" i="1"/>
  <c r="N685" i="1"/>
  <c r="H685" i="1"/>
  <c r="Q684" i="1"/>
  <c r="P684" i="1"/>
  <c r="N684" i="1"/>
  <c r="H684" i="1"/>
  <c r="B684" i="1"/>
  <c r="Q683" i="1"/>
  <c r="R683" i="1" s="1"/>
  <c r="N683" i="1"/>
  <c r="H683" i="1"/>
  <c r="T678" i="1"/>
  <c r="O678" i="1"/>
  <c r="M678" i="1"/>
  <c r="L678" i="1"/>
  <c r="K678" i="1"/>
  <c r="R676" i="1"/>
  <c r="N676" i="1"/>
  <c r="F676" i="1"/>
  <c r="R675" i="1"/>
  <c r="N675" i="1"/>
  <c r="F675" i="1"/>
  <c r="H675" i="1" s="1"/>
  <c r="R674" i="1"/>
  <c r="N674" i="1"/>
  <c r="F674" i="1"/>
  <c r="B674" i="1"/>
  <c r="B675" i="1" s="1"/>
  <c r="B676" i="1" s="1"/>
  <c r="R673" i="1"/>
  <c r="N673" i="1"/>
  <c r="F673" i="1"/>
  <c r="R670" i="1"/>
  <c r="N670" i="1"/>
  <c r="H670" i="1"/>
  <c r="R669" i="1"/>
  <c r="N669" i="1"/>
  <c r="H669" i="1"/>
  <c r="R668" i="1"/>
  <c r="N668" i="1"/>
  <c r="F668" i="1"/>
  <c r="R667" i="1"/>
  <c r="N667" i="1"/>
  <c r="H667" i="1"/>
  <c r="R666" i="1"/>
  <c r="N666" i="1"/>
  <c r="H666" i="1"/>
  <c r="R665" i="1"/>
  <c r="N665" i="1"/>
  <c r="F665" i="1"/>
  <c r="R664" i="1"/>
  <c r="N664" i="1"/>
  <c r="F664" i="1"/>
  <c r="P663" i="1"/>
  <c r="N663" i="1"/>
  <c r="H663" i="1"/>
  <c r="P662" i="1"/>
  <c r="N662" i="1"/>
  <c r="H662" i="1"/>
  <c r="P661" i="1"/>
  <c r="R661" i="1" s="1"/>
  <c r="N661" i="1"/>
  <c r="H661" i="1"/>
  <c r="Q660" i="1"/>
  <c r="N660" i="1"/>
  <c r="H660" i="1"/>
  <c r="Q659" i="1"/>
  <c r="N659" i="1"/>
  <c r="H659" i="1"/>
  <c r="P658" i="1"/>
  <c r="N658" i="1"/>
  <c r="H658" i="1"/>
  <c r="P657" i="1"/>
  <c r="N657" i="1"/>
  <c r="H657" i="1"/>
  <c r="R656" i="1"/>
  <c r="N656" i="1"/>
  <c r="F656" i="1"/>
  <c r="P655" i="1"/>
  <c r="R655" i="1" s="1"/>
  <c r="N655" i="1"/>
  <c r="H655" i="1"/>
  <c r="R654" i="1"/>
  <c r="N654" i="1"/>
  <c r="I654" i="1"/>
  <c r="H654" i="1"/>
  <c r="Q653" i="1"/>
  <c r="P653" i="1"/>
  <c r="N653" i="1"/>
  <c r="H653" i="1"/>
  <c r="R652" i="1"/>
  <c r="N652" i="1"/>
  <c r="F652" i="1"/>
  <c r="P651" i="1"/>
  <c r="N651" i="1"/>
  <c r="J651" i="1"/>
  <c r="H651" i="1"/>
  <c r="Q650" i="1"/>
  <c r="R650" i="1" s="1"/>
  <c r="N650" i="1"/>
  <c r="H650" i="1"/>
  <c r="R649" i="1"/>
  <c r="N649" i="1"/>
  <c r="H649" i="1"/>
  <c r="B649" i="1"/>
  <c r="B650" i="1" s="1"/>
  <c r="B651" i="1" s="1"/>
  <c r="B652" i="1" s="1"/>
  <c r="B653" i="1" s="1"/>
  <c r="B654" i="1" s="1"/>
  <c r="B655" i="1" s="1"/>
  <c r="B656" i="1" s="1"/>
  <c r="B657" i="1" s="1"/>
  <c r="B659" i="1" s="1"/>
  <c r="B660" i="1" s="1"/>
  <c r="B661" i="1" s="1"/>
  <c r="B662" i="1" s="1"/>
  <c r="B663" i="1" s="1"/>
  <c r="B664" i="1" s="1"/>
  <c r="B665" i="1" s="1"/>
  <c r="B666" i="1" s="1"/>
  <c r="B667" i="1" s="1"/>
  <c r="B668" i="1" s="1"/>
  <c r="B669" i="1" s="1"/>
  <c r="B670" i="1" s="1"/>
  <c r="R648" i="1"/>
  <c r="N648" i="1"/>
  <c r="H648" i="1"/>
  <c r="T643" i="1"/>
  <c r="O643" i="1"/>
  <c r="M643" i="1"/>
  <c r="L643" i="1"/>
  <c r="K643" i="1"/>
  <c r="J643" i="1"/>
  <c r="I643" i="1"/>
  <c r="R641" i="1"/>
  <c r="N641" i="1"/>
  <c r="H641" i="1"/>
  <c r="R640" i="1"/>
  <c r="N640" i="1"/>
  <c r="H640" i="1"/>
  <c r="P639" i="1"/>
  <c r="N639" i="1"/>
  <c r="H639" i="1"/>
  <c r="R638" i="1"/>
  <c r="N638" i="1"/>
  <c r="F638" i="1"/>
  <c r="H638" i="1" s="1"/>
  <c r="R637" i="1"/>
  <c r="N637" i="1"/>
  <c r="H637" i="1"/>
  <c r="Q636" i="1"/>
  <c r="R636" i="1" s="1"/>
  <c r="N636" i="1"/>
  <c r="H636" i="1"/>
  <c r="R635" i="1"/>
  <c r="N635" i="1"/>
  <c r="H635" i="1"/>
  <c r="R634" i="1"/>
  <c r="N634" i="1"/>
  <c r="H634" i="1"/>
  <c r="R633" i="1"/>
  <c r="N633" i="1"/>
  <c r="F633" i="1"/>
  <c r="R632" i="1"/>
  <c r="N632" i="1"/>
  <c r="F632" i="1"/>
  <c r="R631" i="1"/>
  <c r="N631" i="1"/>
  <c r="H631" i="1"/>
  <c r="B631" i="1"/>
  <c r="B632" i="1" s="1"/>
  <c r="B633" i="1" s="1"/>
  <c r="B634" i="1" s="1"/>
  <c r="B635" i="1" s="1"/>
  <c r="B636" i="1" s="1"/>
  <c r="B637" i="1" s="1"/>
  <c r="B638" i="1" s="1"/>
  <c r="B639" i="1" s="1"/>
  <c r="B640" i="1" s="1"/>
  <c r="B641" i="1" s="1"/>
  <c r="R630" i="1"/>
  <c r="N630" i="1"/>
  <c r="H630" i="1"/>
  <c r="T625" i="1"/>
  <c r="O625" i="1"/>
  <c r="M625" i="1"/>
  <c r="L625" i="1"/>
  <c r="J625" i="1"/>
  <c r="I625" i="1"/>
  <c r="P623" i="1"/>
  <c r="N623" i="1"/>
  <c r="H623" i="1"/>
  <c r="R622" i="1"/>
  <c r="N622" i="1"/>
  <c r="H622" i="1"/>
  <c r="P621" i="1"/>
  <c r="N621" i="1"/>
  <c r="H621" i="1"/>
  <c r="P620" i="1"/>
  <c r="R620" i="1" s="1"/>
  <c r="N620" i="1"/>
  <c r="K620" i="1"/>
  <c r="H620" i="1"/>
  <c r="P619" i="1"/>
  <c r="N619" i="1"/>
  <c r="H619" i="1"/>
  <c r="B619" i="1"/>
  <c r="R618" i="1"/>
  <c r="N618" i="1"/>
  <c r="K618" i="1"/>
  <c r="F618" i="1"/>
  <c r="T613" i="1"/>
  <c r="O613" i="1"/>
  <c r="M613" i="1"/>
  <c r="L613" i="1"/>
  <c r="K613" i="1"/>
  <c r="J613" i="1"/>
  <c r="I613" i="1"/>
  <c r="R611" i="1"/>
  <c r="N611" i="1"/>
  <c r="F611" i="1"/>
  <c r="H611" i="1" s="1"/>
  <c r="R608" i="1"/>
  <c r="N608" i="1"/>
  <c r="H608" i="1"/>
  <c r="R607" i="1"/>
  <c r="N607" i="1"/>
  <c r="F607" i="1"/>
  <c r="R606" i="1"/>
  <c r="N606" i="1"/>
  <c r="F606" i="1"/>
  <c r="R605" i="1"/>
  <c r="N605" i="1"/>
  <c r="F605" i="1"/>
  <c r="R604" i="1"/>
  <c r="N604" i="1"/>
  <c r="H604" i="1"/>
  <c r="R603" i="1"/>
  <c r="N603" i="1"/>
  <c r="H603" i="1"/>
  <c r="P602" i="1"/>
  <c r="N602" i="1"/>
  <c r="H602" i="1"/>
  <c r="R601" i="1"/>
  <c r="N601" i="1"/>
  <c r="H601" i="1"/>
  <c r="R600" i="1"/>
  <c r="N600" i="1"/>
  <c r="F600" i="1"/>
  <c r="R599" i="1"/>
  <c r="N599" i="1"/>
  <c r="H599" i="1"/>
  <c r="R598" i="1"/>
  <c r="N598" i="1"/>
  <c r="F598" i="1"/>
  <c r="R597" i="1"/>
  <c r="N597" i="1"/>
  <c r="F597" i="1"/>
  <c r="H597" i="1" s="1"/>
  <c r="Q596" i="1"/>
  <c r="N596" i="1"/>
  <c r="F596" i="1"/>
  <c r="H596" i="1" s="1"/>
  <c r="R595" i="1"/>
  <c r="N595" i="1"/>
  <c r="F595" i="1"/>
  <c r="R594" i="1"/>
  <c r="N594" i="1"/>
  <c r="F594" i="1"/>
  <c r="B594" i="1"/>
  <c r="B595" i="1" s="1"/>
  <c r="B596" i="1" s="1"/>
  <c r="B597" i="1" s="1"/>
  <c r="B598" i="1" s="1"/>
  <c r="B599" i="1" s="1"/>
  <c r="B600" i="1" s="1"/>
  <c r="B601" i="1" s="1"/>
  <c r="B602" i="1" s="1"/>
  <c r="B603" i="1" s="1"/>
  <c r="B604" i="1" s="1"/>
  <c r="B605" i="1" s="1"/>
  <c r="B606" i="1" s="1"/>
  <c r="B607" i="1" s="1"/>
  <c r="B608" i="1" s="1"/>
  <c r="R593" i="1"/>
  <c r="N593" i="1"/>
  <c r="H593" i="1"/>
  <c r="T588" i="1"/>
  <c r="O588" i="1"/>
  <c r="M588" i="1"/>
  <c r="L588" i="1"/>
  <c r="K588" i="1"/>
  <c r="J588" i="1"/>
  <c r="I588" i="1"/>
  <c r="P586" i="1"/>
  <c r="R586" i="1" s="1"/>
  <c r="N586" i="1"/>
  <c r="H586" i="1"/>
  <c r="P585" i="1"/>
  <c r="N585" i="1"/>
  <c r="H585" i="1"/>
  <c r="R584" i="1"/>
  <c r="N584" i="1"/>
  <c r="F584" i="1"/>
  <c r="R583" i="1"/>
  <c r="N583" i="1"/>
  <c r="H583" i="1"/>
  <c r="B583" i="1"/>
  <c r="R582" i="1"/>
  <c r="N582" i="1"/>
  <c r="F582" i="1"/>
  <c r="H582" i="1" s="1"/>
  <c r="T577" i="1"/>
  <c r="O577" i="1"/>
  <c r="L577" i="1"/>
  <c r="J577" i="1"/>
  <c r="I577" i="1"/>
  <c r="R575" i="1"/>
  <c r="N575" i="1"/>
  <c r="H575" i="1"/>
  <c r="R574" i="1"/>
  <c r="N574" i="1"/>
  <c r="H574" i="1"/>
  <c r="R573" i="1"/>
  <c r="M573" i="1"/>
  <c r="K573" i="1"/>
  <c r="F573" i="1"/>
  <c r="Q572" i="1"/>
  <c r="R572" i="1" s="1"/>
  <c r="N572" i="1"/>
  <c r="H572" i="1"/>
  <c r="R571" i="1"/>
  <c r="N571" i="1"/>
  <c r="H571" i="1"/>
  <c r="R570" i="1"/>
  <c r="N570" i="1"/>
  <c r="F570" i="1"/>
  <c r="B570" i="1"/>
  <c r="B571" i="1" s="1"/>
  <c r="B572" i="1" s="1"/>
  <c r="B573" i="1" s="1"/>
  <c r="B574" i="1" s="1"/>
  <c r="B575" i="1" s="1"/>
  <c r="R569" i="1"/>
  <c r="N569" i="1"/>
  <c r="H569" i="1"/>
  <c r="T564" i="1"/>
  <c r="O564" i="1"/>
  <c r="M564" i="1"/>
  <c r="L564" i="1"/>
  <c r="K564" i="1"/>
  <c r="J564" i="1"/>
  <c r="I564" i="1"/>
  <c r="R562" i="1"/>
  <c r="N562" i="1"/>
  <c r="F562" i="1"/>
  <c r="B562" i="1"/>
  <c r="R561" i="1"/>
  <c r="N561" i="1"/>
  <c r="F561" i="1"/>
  <c r="H561" i="1" s="1"/>
  <c r="P558" i="1"/>
  <c r="N558" i="1"/>
  <c r="F558" i="1"/>
  <c r="R557" i="1"/>
  <c r="N557" i="1"/>
  <c r="H557" i="1"/>
  <c r="P556" i="1"/>
  <c r="N556" i="1"/>
  <c r="H556" i="1"/>
  <c r="R555" i="1"/>
  <c r="N555" i="1"/>
  <c r="F555" i="1"/>
  <c r="R554" i="1"/>
  <c r="N554" i="1"/>
  <c r="H554" i="1"/>
  <c r="R553" i="1"/>
  <c r="N553" i="1"/>
  <c r="H553" i="1"/>
  <c r="P552" i="1"/>
  <c r="R552" i="1" s="1"/>
  <c r="N552" i="1"/>
  <c r="H552" i="1"/>
  <c r="P551" i="1"/>
  <c r="N551" i="1"/>
  <c r="H551" i="1"/>
  <c r="B551" i="1"/>
  <c r="B552" i="1" s="1"/>
  <c r="B553" i="1" s="1"/>
  <c r="B554" i="1" s="1"/>
  <c r="R550" i="1"/>
  <c r="N550" i="1"/>
  <c r="H550" i="1"/>
  <c r="T545" i="1"/>
  <c r="O545" i="1"/>
  <c r="M545" i="1"/>
  <c r="L545" i="1"/>
  <c r="K545" i="1"/>
  <c r="J545" i="1"/>
  <c r="I545" i="1"/>
  <c r="R543" i="1"/>
  <c r="N543" i="1"/>
  <c r="H543" i="1"/>
  <c r="R542" i="1"/>
  <c r="N542" i="1"/>
  <c r="H542" i="1"/>
  <c r="Q541" i="1"/>
  <c r="P541" i="1"/>
  <c r="N541" i="1"/>
  <c r="H541" i="1"/>
  <c r="P540" i="1"/>
  <c r="R540" i="1" s="1"/>
  <c r="N540" i="1"/>
  <c r="H540" i="1"/>
  <c r="R539" i="1"/>
  <c r="N539" i="1"/>
  <c r="H539" i="1"/>
  <c r="R538" i="1"/>
  <c r="N538" i="1"/>
  <c r="H538" i="1"/>
  <c r="R537" i="1"/>
  <c r="N537" i="1"/>
  <c r="F537" i="1"/>
  <c r="R536" i="1"/>
  <c r="N536" i="1"/>
  <c r="F536" i="1"/>
  <c r="R535" i="1"/>
  <c r="N535" i="1"/>
  <c r="F535" i="1"/>
  <c r="H535" i="1" s="1"/>
  <c r="P534" i="1"/>
  <c r="N534" i="1"/>
  <c r="H534" i="1"/>
  <c r="B534" i="1"/>
  <c r="R533" i="1"/>
  <c r="N533" i="1"/>
  <c r="H533" i="1"/>
  <c r="T528" i="1"/>
  <c r="O528" i="1"/>
  <c r="M528" i="1"/>
  <c r="L528" i="1"/>
  <c r="K528" i="1"/>
  <c r="J528" i="1"/>
  <c r="I528" i="1"/>
  <c r="R526" i="1"/>
  <c r="N526" i="1"/>
  <c r="H526" i="1"/>
  <c r="R525" i="1"/>
  <c r="N525" i="1"/>
  <c r="H525" i="1"/>
  <c r="B525" i="1"/>
  <c r="B526" i="1" s="1"/>
  <c r="R524" i="1"/>
  <c r="N524" i="1"/>
  <c r="F524" i="1"/>
  <c r="R521" i="1"/>
  <c r="N521" i="1"/>
  <c r="F521" i="1"/>
  <c r="R520" i="1"/>
  <c r="N520" i="1"/>
  <c r="H520" i="1"/>
  <c r="R519" i="1"/>
  <c r="N519" i="1"/>
  <c r="H519" i="1"/>
  <c r="R518" i="1"/>
  <c r="N518" i="1"/>
  <c r="F518" i="1"/>
  <c r="H518" i="1" s="1"/>
  <c r="P517" i="1"/>
  <c r="N517" i="1"/>
  <c r="H517" i="1"/>
  <c r="P516" i="1"/>
  <c r="R516" i="1" s="1"/>
  <c r="N516" i="1"/>
  <c r="H516" i="1"/>
  <c r="R515" i="1"/>
  <c r="N515" i="1"/>
  <c r="F515" i="1"/>
  <c r="R514" i="1"/>
  <c r="N514" i="1"/>
  <c r="H514" i="1"/>
  <c r="R513" i="1"/>
  <c r="N513" i="1"/>
  <c r="H513" i="1"/>
  <c r="R512" i="1"/>
  <c r="N512" i="1"/>
  <c r="H512" i="1"/>
  <c r="R511" i="1"/>
  <c r="N511" i="1"/>
  <c r="H511" i="1"/>
  <c r="R510" i="1"/>
  <c r="N510" i="1"/>
  <c r="F510" i="1"/>
  <c r="B510" i="1"/>
  <c r="B511" i="1" s="1"/>
  <c r="B512" i="1" s="1"/>
  <c r="B513" i="1" s="1"/>
  <c r="B514" i="1" s="1"/>
  <c r="B515" i="1" s="1"/>
  <c r="B516" i="1" s="1"/>
  <c r="B517" i="1" s="1"/>
  <c r="B518" i="1" s="1"/>
  <c r="B519" i="1" s="1"/>
  <c r="B520" i="1" s="1"/>
  <c r="B521" i="1" s="1"/>
  <c r="R509" i="1"/>
  <c r="N509" i="1"/>
  <c r="H509" i="1"/>
  <c r="T504" i="1"/>
  <c r="O504" i="1"/>
  <c r="M504" i="1"/>
  <c r="L504" i="1"/>
  <c r="K504" i="1"/>
  <c r="J504" i="1"/>
  <c r="I504" i="1"/>
  <c r="F504" i="1"/>
  <c r="P502" i="1"/>
  <c r="N502" i="1"/>
  <c r="H502" i="1"/>
  <c r="P501" i="1"/>
  <c r="N501" i="1"/>
  <c r="H501" i="1"/>
  <c r="P500" i="1"/>
  <c r="N500" i="1"/>
  <c r="H500" i="1"/>
  <c r="B500" i="1"/>
  <c r="B501" i="1" s="1"/>
  <c r="P499" i="1"/>
  <c r="N499" i="1"/>
  <c r="H499" i="1"/>
  <c r="T494" i="1"/>
  <c r="O494" i="1"/>
  <c r="M494" i="1"/>
  <c r="L494" i="1"/>
  <c r="K494" i="1"/>
  <c r="J494" i="1"/>
  <c r="I494" i="1"/>
  <c r="R492" i="1"/>
  <c r="N492" i="1"/>
  <c r="H492" i="1"/>
  <c r="R489" i="1"/>
  <c r="N489" i="1"/>
  <c r="H489" i="1"/>
  <c r="R488" i="1"/>
  <c r="N488" i="1"/>
  <c r="H488" i="1"/>
  <c r="P487" i="1"/>
  <c r="N487" i="1"/>
  <c r="H487" i="1"/>
  <c r="R486" i="1"/>
  <c r="N486" i="1"/>
  <c r="H486" i="1"/>
  <c r="R485" i="1"/>
  <c r="N485" i="1"/>
  <c r="F485" i="1"/>
  <c r="R484" i="1"/>
  <c r="N484" i="1"/>
  <c r="F484" i="1"/>
  <c r="H484" i="1" s="1"/>
  <c r="R483" i="1"/>
  <c r="N483" i="1"/>
  <c r="F483" i="1"/>
  <c r="B483" i="1"/>
  <c r="P482" i="1"/>
  <c r="N482" i="1"/>
  <c r="H482" i="1"/>
  <c r="T477" i="1"/>
  <c r="O477" i="1"/>
  <c r="M477" i="1"/>
  <c r="L477" i="1"/>
  <c r="K477" i="1"/>
  <c r="I477" i="1"/>
  <c r="R475" i="1"/>
  <c r="N475" i="1"/>
  <c r="H475" i="1"/>
  <c r="R472" i="1"/>
  <c r="N472" i="1"/>
  <c r="F472" i="1"/>
  <c r="H472" i="1" s="1"/>
  <c r="P471" i="1"/>
  <c r="N471" i="1"/>
  <c r="H471" i="1"/>
  <c r="R470" i="1"/>
  <c r="N470" i="1"/>
  <c r="F470" i="1"/>
  <c r="P469" i="1"/>
  <c r="N469" i="1"/>
  <c r="H469" i="1"/>
  <c r="P468" i="1"/>
  <c r="N468" i="1"/>
  <c r="H468" i="1"/>
  <c r="R467" i="1"/>
  <c r="N467" i="1"/>
  <c r="H467" i="1"/>
  <c r="P466" i="1"/>
  <c r="N466" i="1"/>
  <c r="H466" i="1"/>
  <c r="R465" i="1"/>
  <c r="N465" i="1"/>
  <c r="F465" i="1"/>
  <c r="P464" i="1"/>
  <c r="N464" i="1"/>
  <c r="H464" i="1"/>
  <c r="R463" i="1"/>
  <c r="N463" i="1"/>
  <c r="F463" i="1"/>
  <c r="P462" i="1"/>
  <c r="N462" i="1"/>
  <c r="H462" i="1"/>
  <c r="P461" i="1"/>
  <c r="N461" i="1"/>
  <c r="H461" i="1"/>
  <c r="P460" i="1"/>
  <c r="R460" i="1" s="1"/>
  <c r="N460" i="1"/>
  <c r="J460" i="1"/>
  <c r="H460" i="1"/>
  <c r="B460" i="1"/>
  <c r="B461" i="1" s="1"/>
  <c r="B462" i="1" s="1"/>
  <c r="B463" i="1" s="1"/>
  <c r="P459" i="1"/>
  <c r="N459" i="1"/>
  <c r="H459" i="1"/>
  <c r="T453" i="1"/>
  <c r="O453" i="1"/>
  <c r="L453" i="1"/>
  <c r="K453" i="1"/>
  <c r="J453" i="1"/>
  <c r="I453" i="1"/>
  <c r="R451" i="1"/>
  <c r="N451" i="1"/>
  <c r="H451" i="1"/>
  <c r="R450" i="1"/>
  <c r="N450" i="1"/>
  <c r="H450" i="1"/>
  <c r="R449" i="1"/>
  <c r="N449" i="1"/>
  <c r="F449" i="1"/>
  <c r="B449" i="1"/>
  <c r="B450" i="1" s="1"/>
  <c r="B451" i="1" s="1"/>
  <c r="P448" i="1"/>
  <c r="M448" i="1"/>
  <c r="H448" i="1"/>
  <c r="T443" i="1"/>
  <c r="O443" i="1"/>
  <c r="M443" i="1"/>
  <c r="L443" i="1"/>
  <c r="K443" i="1"/>
  <c r="I443" i="1"/>
  <c r="R441" i="1"/>
  <c r="N441" i="1"/>
  <c r="H441" i="1"/>
  <c r="P440" i="1"/>
  <c r="R440" i="1" s="1"/>
  <c r="N440" i="1"/>
  <c r="J440" i="1"/>
  <c r="F440" i="1"/>
  <c r="B440" i="1"/>
  <c r="B441" i="1" s="1"/>
  <c r="Q439" i="1"/>
  <c r="N439" i="1"/>
  <c r="F439" i="1"/>
  <c r="H439" i="1" s="1"/>
  <c r="T434" i="1"/>
  <c r="O434" i="1"/>
  <c r="M434" i="1"/>
  <c r="L434" i="1"/>
  <c r="K434" i="1"/>
  <c r="J434" i="1"/>
  <c r="I434" i="1"/>
  <c r="P432" i="1"/>
  <c r="R432" i="1" s="1"/>
  <c r="N432" i="1"/>
  <c r="H432" i="1"/>
  <c r="R431" i="1"/>
  <c r="N431" i="1"/>
  <c r="F431" i="1"/>
  <c r="R430" i="1"/>
  <c r="N430" i="1"/>
  <c r="F430" i="1"/>
  <c r="B430" i="1"/>
  <c r="B431" i="1" s="1"/>
  <c r="R429" i="1"/>
  <c r="N429" i="1"/>
  <c r="F429" i="1"/>
  <c r="T424" i="1"/>
  <c r="O424" i="1"/>
  <c r="M424" i="1"/>
  <c r="L424" i="1"/>
  <c r="K424" i="1"/>
  <c r="J424" i="1"/>
  <c r="I424" i="1"/>
  <c r="R422" i="1"/>
  <c r="N422" i="1"/>
  <c r="H422" i="1"/>
  <c r="B422" i="1"/>
  <c r="R421" i="1"/>
  <c r="N421" i="1"/>
  <c r="F421" i="1"/>
  <c r="R417" i="1"/>
  <c r="N417" i="1"/>
  <c r="F417" i="1"/>
  <c r="R416" i="1"/>
  <c r="N416" i="1"/>
  <c r="F416" i="1"/>
  <c r="R415" i="1"/>
  <c r="N415" i="1"/>
  <c r="H415" i="1"/>
  <c r="R414" i="1"/>
  <c r="N414" i="1"/>
  <c r="F414" i="1"/>
  <c r="H414" i="1" s="1"/>
  <c r="R413" i="1"/>
  <c r="N413" i="1"/>
  <c r="F413" i="1"/>
  <c r="R412" i="1"/>
  <c r="N412" i="1"/>
  <c r="H412" i="1"/>
  <c r="P411" i="1"/>
  <c r="R411" i="1" s="1"/>
  <c r="N411" i="1"/>
  <c r="H411" i="1"/>
  <c r="R410" i="1"/>
  <c r="N410" i="1"/>
  <c r="H410" i="1"/>
  <c r="R409" i="1"/>
  <c r="N409" i="1"/>
  <c r="H409" i="1"/>
  <c r="R408" i="1"/>
  <c r="N408" i="1"/>
  <c r="F408" i="1"/>
  <c r="R407" i="1"/>
  <c r="N407" i="1"/>
  <c r="F407" i="1"/>
  <c r="H407" i="1" s="1"/>
  <c r="R406" i="1"/>
  <c r="N406" i="1"/>
  <c r="H406" i="1"/>
  <c r="R405" i="1"/>
  <c r="N405" i="1"/>
  <c r="F405" i="1"/>
  <c r="H405" i="1" s="1"/>
  <c r="R404" i="1"/>
  <c r="N404" i="1"/>
  <c r="H404" i="1"/>
  <c r="R403" i="1"/>
  <c r="N403" i="1"/>
  <c r="F403" i="1"/>
  <c r="P402" i="1"/>
  <c r="R402" i="1" s="1"/>
  <c r="N402" i="1"/>
  <c r="H402" i="1"/>
  <c r="P401" i="1"/>
  <c r="N401" i="1"/>
  <c r="H401" i="1"/>
  <c r="B401" i="1"/>
  <c r="P400" i="1"/>
  <c r="N400" i="1"/>
  <c r="H400" i="1"/>
  <c r="T395" i="1"/>
  <c r="O395" i="1"/>
  <c r="M395" i="1"/>
  <c r="L395" i="1"/>
  <c r="K395" i="1"/>
  <c r="I395" i="1"/>
  <c r="R393" i="1"/>
  <c r="N393" i="1"/>
  <c r="H393" i="1"/>
  <c r="R392" i="1"/>
  <c r="N392" i="1"/>
  <c r="H392" i="1"/>
  <c r="R391" i="1"/>
  <c r="N391" i="1"/>
  <c r="H391" i="1"/>
  <c r="R390" i="1"/>
  <c r="N390" i="1"/>
  <c r="H390" i="1"/>
  <c r="B390" i="1"/>
  <c r="B391" i="1" s="1"/>
  <c r="B392" i="1" s="1"/>
  <c r="B393" i="1" s="1"/>
  <c r="R389" i="1"/>
  <c r="N389" i="1"/>
  <c r="H389" i="1"/>
  <c r="R385" i="1"/>
  <c r="N385" i="1"/>
  <c r="H385" i="1"/>
  <c r="R384" i="1"/>
  <c r="N384" i="1"/>
  <c r="H384" i="1"/>
  <c r="R383" i="1"/>
  <c r="N383" i="1"/>
  <c r="H383" i="1"/>
  <c r="R382" i="1"/>
  <c r="N382" i="1"/>
  <c r="H382" i="1"/>
  <c r="P381" i="1"/>
  <c r="R381" i="1" s="1"/>
  <c r="N381" i="1"/>
  <c r="H381" i="1"/>
  <c r="R380" i="1"/>
  <c r="N380" i="1"/>
  <c r="H380" i="1"/>
  <c r="R379" i="1"/>
  <c r="N379" i="1"/>
  <c r="H379" i="1"/>
  <c r="R378" i="1"/>
  <c r="N378" i="1"/>
  <c r="F378" i="1"/>
  <c r="H378" i="1" s="1"/>
  <c r="R377" i="1"/>
  <c r="N377" i="1"/>
  <c r="H377" i="1"/>
  <c r="R376" i="1"/>
  <c r="N376" i="1"/>
  <c r="H376" i="1"/>
  <c r="Q375" i="1"/>
  <c r="P375" i="1"/>
  <c r="N375" i="1"/>
  <c r="H375" i="1"/>
  <c r="Q374" i="1"/>
  <c r="R374" i="1" s="1"/>
  <c r="N374" i="1"/>
  <c r="H374" i="1"/>
  <c r="R373" i="1"/>
  <c r="N373" i="1"/>
  <c r="H373" i="1"/>
  <c r="R372" i="1"/>
  <c r="N372" i="1"/>
  <c r="J372" i="1"/>
  <c r="J395" i="1" s="1"/>
  <c r="H372" i="1"/>
  <c r="P371" i="1"/>
  <c r="R371" i="1" s="1"/>
  <c r="N371" i="1"/>
  <c r="H371" i="1"/>
  <c r="P370" i="1"/>
  <c r="R370" i="1" s="1"/>
  <c r="N370" i="1"/>
  <c r="H370" i="1"/>
  <c r="R369" i="1"/>
  <c r="N369" i="1"/>
  <c r="F369" i="1"/>
  <c r="R368" i="1"/>
  <c r="N368" i="1"/>
  <c r="H368" i="1"/>
  <c r="R367" i="1"/>
  <c r="N367" i="1"/>
  <c r="H367" i="1"/>
  <c r="R366" i="1"/>
  <c r="N366" i="1"/>
  <c r="F366" i="1"/>
  <c r="R365" i="1"/>
  <c r="N365" i="1"/>
  <c r="H365" i="1"/>
  <c r="R364" i="1"/>
  <c r="N364" i="1"/>
  <c r="H364" i="1"/>
  <c r="P363" i="1"/>
  <c r="R363" i="1" s="1"/>
  <c r="N363" i="1"/>
  <c r="H363" i="1"/>
  <c r="B363" i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4" i="1" s="1"/>
  <c r="B385" i="1" s="1"/>
  <c r="P362" i="1"/>
  <c r="R362" i="1" s="1"/>
  <c r="N362" i="1"/>
  <c r="H362" i="1"/>
  <c r="T357" i="1"/>
  <c r="O357" i="1"/>
  <c r="M357" i="1"/>
  <c r="L357" i="1"/>
  <c r="K357" i="1"/>
  <c r="J357" i="1"/>
  <c r="I357" i="1"/>
  <c r="R356" i="1"/>
  <c r="N356" i="1"/>
  <c r="F356" i="1"/>
  <c r="B356" i="1"/>
  <c r="B357" i="1" s="1"/>
  <c r="R355" i="1"/>
  <c r="N355" i="1"/>
  <c r="F355" i="1"/>
  <c r="T349" i="1"/>
  <c r="O349" i="1"/>
  <c r="M349" i="1"/>
  <c r="L349" i="1"/>
  <c r="K349" i="1"/>
  <c r="I349" i="1"/>
  <c r="R347" i="1"/>
  <c r="N347" i="1"/>
  <c r="F347" i="1"/>
  <c r="H347" i="1" s="1"/>
  <c r="R346" i="1"/>
  <c r="N346" i="1"/>
  <c r="H346" i="1"/>
  <c r="R345" i="1"/>
  <c r="N345" i="1"/>
  <c r="F345" i="1"/>
  <c r="H345" i="1" s="1"/>
  <c r="B345" i="1"/>
  <c r="B346" i="1" s="1"/>
  <c r="B347" i="1" s="1"/>
  <c r="R344" i="1"/>
  <c r="N344" i="1"/>
  <c r="F344" i="1"/>
  <c r="R341" i="1"/>
  <c r="N341" i="1"/>
  <c r="F341" i="1"/>
  <c r="Q340" i="1"/>
  <c r="N340" i="1"/>
  <c r="F340" i="1"/>
  <c r="H340" i="1" s="1"/>
  <c r="R339" i="1"/>
  <c r="N339" i="1"/>
  <c r="F339" i="1"/>
  <c r="Q338" i="1"/>
  <c r="R338" i="1" s="1"/>
  <c r="N338" i="1"/>
  <c r="F338" i="1"/>
  <c r="R337" i="1"/>
  <c r="N337" i="1"/>
  <c r="J337" i="1"/>
  <c r="J349" i="1" s="1"/>
  <c r="H337" i="1"/>
  <c r="B337" i="1"/>
  <c r="B338" i="1" s="1"/>
  <c r="B339" i="1" s="1"/>
  <c r="B340" i="1" s="1"/>
  <c r="B341" i="1" s="1"/>
  <c r="Q336" i="1"/>
  <c r="P336" i="1"/>
  <c r="N336" i="1"/>
  <c r="F336" i="1"/>
  <c r="T331" i="1"/>
  <c r="O331" i="1"/>
  <c r="M331" i="1"/>
  <c r="L331" i="1"/>
  <c r="K331" i="1"/>
  <c r="J331" i="1"/>
  <c r="I331" i="1"/>
  <c r="B331" i="1"/>
  <c r="R329" i="1"/>
  <c r="N329" i="1"/>
  <c r="N331" i="1" s="1"/>
  <c r="F329" i="1"/>
  <c r="T324" i="1"/>
  <c r="O324" i="1"/>
  <c r="M324" i="1"/>
  <c r="L324" i="1"/>
  <c r="K324" i="1"/>
  <c r="I324" i="1"/>
  <c r="R322" i="1"/>
  <c r="N322" i="1"/>
  <c r="F322" i="1"/>
  <c r="H322" i="1" s="1"/>
  <c r="R321" i="1"/>
  <c r="N321" i="1"/>
  <c r="H321" i="1"/>
  <c r="R320" i="1"/>
  <c r="N320" i="1"/>
  <c r="H320" i="1"/>
  <c r="R319" i="1"/>
  <c r="N319" i="1"/>
  <c r="H319" i="1"/>
  <c r="R318" i="1"/>
  <c r="N318" i="1"/>
  <c r="H318" i="1"/>
  <c r="R317" i="1"/>
  <c r="N317" i="1"/>
  <c r="F317" i="1"/>
  <c r="R316" i="1"/>
  <c r="N316" i="1"/>
  <c r="F316" i="1"/>
  <c r="H316" i="1" s="1"/>
  <c r="R315" i="1"/>
  <c r="N315" i="1"/>
  <c r="F315" i="1"/>
  <c r="R314" i="1"/>
  <c r="N314" i="1"/>
  <c r="F314" i="1"/>
  <c r="R313" i="1"/>
  <c r="N313" i="1"/>
  <c r="H313" i="1"/>
  <c r="R312" i="1"/>
  <c r="N312" i="1"/>
  <c r="H312" i="1"/>
  <c r="R311" i="1"/>
  <c r="N311" i="1"/>
  <c r="F311" i="1"/>
  <c r="H311" i="1" s="1"/>
  <c r="R310" i="1"/>
  <c r="N310" i="1"/>
  <c r="F310" i="1"/>
  <c r="R309" i="1"/>
  <c r="N309" i="1"/>
  <c r="H309" i="1"/>
  <c r="R308" i="1"/>
  <c r="N308" i="1"/>
  <c r="F308" i="1"/>
  <c r="B308" i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R307" i="1"/>
  <c r="N307" i="1"/>
  <c r="H307" i="1"/>
  <c r="R304" i="1"/>
  <c r="N304" i="1"/>
  <c r="J304" i="1"/>
  <c r="J324" i="1" s="1"/>
  <c r="F304" i="1"/>
  <c r="P303" i="1"/>
  <c r="N303" i="1"/>
  <c r="H303" i="1"/>
  <c r="R302" i="1"/>
  <c r="N302" i="1"/>
  <c r="H302" i="1"/>
  <c r="R301" i="1"/>
  <c r="N301" i="1"/>
  <c r="F301" i="1"/>
  <c r="R300" i="1"/>
  <c r="N300" i="1"/>
  <c r="F300" i="1"/>
  <c r="R299" i="1"/>
  <c r="N299" i="1"/>
  <c r="F299" i="1"/>
  <c r="R298" i="1"/>
  <c r="N298" i="1"/>
  <c r="F298" i="1"/>
  <c r="R297" i="1"/>
  <c r="N297" i="1"/>
  <c r="F297" i="1"/>
  <c r="R296" i="1"/>
  <c r="N296" i="1"/>
  <c r="H296" i="1"/>
  <c r="R295" i="1"/>
  <c r="N295" i="1"/>
  <c r="F295" i="1"/>
  <c r="H295" i="1" s="1"/>
  <c r="R294" i="1"/>
  <c r="N294" i="1"/>
  <c r="H294" i="1"/>
  <c r="R293" i="1"/>
  <c r="N293" i="1"/>
  <c r="H293" i="1"/>
  <c r="Q292" i="1"/>
  <c r="N292" i="1"/>
  <c r="F292" i="1"/>
  <c r="R291" i="1"/>
  <c r="N291" i="1"/>
  <c r="H291" i="1"/>
  <c r="R290" i="1"/>
  <c r="N290" i="1"/>
  <c r="F290" i="1"/>
  <c r="R289" i="1"/>
  <c r="N289" i="1"/>
  <c r="F289" i="1"/>
  <c r="H289" i="1" s="1"/>
  <c r="R288" i="1"/>
  <c r="N288" i="1"/>
  <c r="F288" i="1"/>
  <c r="R287" i="1"/>
  <c r="N287" i="1"/>
  <c r="F287" i="1"/>
  <c r="Q286" i="1"/>
  <c r="P286" i="1"/>
  <c r="N286" i="1"/>
  <c r="H286" i="1"/>
  <c r="R285" i="1"/>
  <c r="N285" i="1"/>
  <c r="F285" i="1"/>
  <c r="R284" i="1"/>
  <c r="N284" i="1"/>
  <c r="H284" i="1"/>
  <c r="R283" i="1"/>
  <c r="N283" i="1"/>
  <c r="F283" i="1"/>
  <c r="R282" i="1"/>
  <c r="N282" i="1"/>
  <c r="F282" i="1"/>
  <c r="Q281" i="1"/>
  <c r="N281" i="1"/>
  <c r="F281" i="1"/>
  <c r="H281" i="1" s="1"/>
  <c r="R280" i="1"/>
  <c r="N280" i="1"/>
  <c r="F280" i="1"/>
  <c r="P279" i="1"/>
  <c r="N279" i="1"/>
  <c r="H279" i="1"/>
  <c r="R278" i="1"/>
  <c r="N278" i="1"/>
  <c r="F278" i="1"/>
  <c r="R277" i="1"/>
  <c r="N277" i="1"/>
  <c r="F277" i="1"/>
  <c r="H277" i="1" s="1"/>
  <c r="R276" i="1"/>
  <c r="N276" i="1"/>
  <c r="F276" i="1"/>
  <c r="R275" i="1"/>
  <c r="N275" i="1"/>
  <c r="H275" i="1"/>
  <c r="R274" i="1"/>
  <c r="N274" i="1"/>
  <c r="F274" i="1"/>
  <c r="R273" i="1"/>
  <c r="N273" i="1"/>
  <c r="F273" i="1"/>
  <c r="H273" i="1" s="1"/>
  <c r="R272" i="1"/>
  <c r="N272" i="1"/>
  <c r="F272" i="1"/>
  <c r="H272" i="1" s="1"/>
  <c r="R271" i="1"/>
  <c r="N271" i="1"/>
  <c r="F271" i="1"/>
  <c r="R270" i="1"/>
  <c r="N270" i="1"/>
  <c r="F270" i="1"/>
  <c r="B270" i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R269" i="1"/>
  <c r="N269" i="1"/>
  <c r="F269" i="1"/>
  <c r="H269" i="1" s="1"/>
  <c r="T264" i="1"/>
  <c r="O264" i="1"/>
  <c r="M264" i="1"/>
  <c r="L264" i="1"/>
  <c r="K264" i="1"/>
  <c r="J264" i="1"/>
  <c r="I264" i="1"/>
  <c r="R262" i="1"/>
  <c r="N262" i="1"/>
  <c r="H262" i="1"/>
  <c r="R261" i="1"/>
  <c r="N261" i="1"/>
  <c r="H261" i="1"/>
  <c r="R260" i="1"/>
  <c r="N260" i="1"/>
  <c r="F260" i="1"/>
  <c r="B260" i="1"/>
  <c r="B261" i="1" s="1"/>
  <c r="B262" i="1" s="1"/>
  <c r="R259" i="1"/>
  <c r="N259" i="1"/>
  <c r="H259" i="1"/>
  <c r="R256" i="1"/>
  <c r="N256" i="1"/>
  <c r="F256" i="1"/>
  <c r="R255" i="1"/>
  <c r="N255" i="1"/>
  <c r="H255" i="1"/>
  <c r="R254" i="1"/>
  <c r="N254" i="1"/>
  <c r="F254" i="1"/>
  <c r="R253" i="1"/>
  <c r="N253" i="1"/>
  <c r="F253" i="1"/>
  <c r="H253" i="1" s="1"/>
  <c r="B253" i="1"/>
  <c r="R252" i="1"/>
  <c r="N252" i="1"/>
  <c r="F252" i="1"/>
  <c r="T247" i="1"/>
  <c r="O247" i="1"/>
  <c r="M247" i="1"/>
  <c r="L247" i="1"/>
  <c r="K247" i="1"/>
  <c r="I247" i="1"/>
  <c r="R245" i="1"/>
  <c r="N245" i="1"/>
  <c r="F245" i="1"/>
  <c r="R244" i="1"/>
  <c r="N244" i="1"/>
  <c r="F244" i="1"/>
  <c r="R243" i="1"/>
  <c r="N243" i="1"/>
  <c r="F243" i="1"/>
  <c r="H243" i="1" s="1"/>
  <c r="R242" i="1"/>
  <c r="N242" i="1"/>
  <c r="F242" i="1"/>
  <c r="R241" i="1"/>
  <c r="N241" i="1"/>
  <c r="F241" i="1"/>
  <c r="H241" i="1" s="1"/>
  <c r="R240" i="1"/>
  <c r="N240" i="1"/>
  <c r="F240" i="1"/>
  <c r="R239" i="1"/>
  <c r="N239" i="1"/>
  <c r="F239" i="1"/>
  <c r="H239" i="1" s="1"/>
  <c r="R238" i="1"/>
  <c r="N238" i="1"/>
  <c r="H238" i="1"/>
  <c r="R237" i="1"/>
  <c r="N237" i="1"/>
  <c r="H237" i="1"/>
  <c r="R236" i="1"/>
  <c r="N236" i="1"/>
  <c r="F236" i="1"/>
  <c r="R235" i="1"/>
  <c r="N235" i="1"/>
  <c r="F235" i="1"/>
  <c r="R234" i="1"/>
  <c r="N234" i="1"/>
  <c r="F234" i="1"/>
  <c r="R233" i="1"/>
  <c r="N233" i="1"/>
  <c r="H233" i="1"/>
  <c r="R232" i="1"/>
  <c r="N232" i="1"/>
  <c r="H232" i="1"/>
  <c r="R231" i="1"/>
  <c r="N231" i="1"/>
  <c r="F231" i="1"/>
  <c r="H231" i="1" s="1"/>
  <c r="R230" i="1"/>
  <c r="N230" i="1"/>
  <c r="J230" i="1"/>
  <c r="H230" i="1"/>
  <c r="R229" i="1"/>
  <c r="N229" i="1"/>
  <c r="H229" i="1"/>
  <c r="R228" i="1"/>
  <c r="N228" i="1"/>
  <c r="H228" i="1"/>
  <c r="R227" i="1"/>
  <c r="N227" i="1"/>
  <c r="H227" i="1"/>
  <c r="R226" i="1"/>
  <c r="N226" i="1"/>
  <c r="F226" i="1"/>
  <c r="R225" i="1"/>
  <c r="N225" i="1"/>
  <c r="F225" i="1"/>
  <c r="H225" i="1" s="1"/>
  <c r="R224" i="1"/>
  <c r="N224" i="1"/>
  <c r="H224" i="1"/>
  <c r="R223" i="1"/>
  <c r="N223" i="1"/>
  <c r="H223" i="1"/>
  <c r="R222" i="1"/>
  <c r="N222" i="1"/>
  <c r="H222" i="1"/>
  <c r="R221" i="1"/>
  <c r="N221" i="1"/>
  <c r="F221" i="1"/>
  <c r="H221" i="1" s="1"/>
  <c r="R220" i="1"/>
  <c r="N220" i="1"/>
  <c r="F220" i="1"/>
  <c r="H220" i="1" s="1"/>
  <c r="B220" i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R219" i="1"/>
  <c r="N219" i="1"/>
  <c r="H219" i="1"/>
  <c r="P216" i="1"/>
  <c r="N216" i="1"/>
  <c r="H216" i="1"/>
  <c r="R215" i="1"/>
  <c r="N215" i="1"/>
  <c r="F215" i="1"/>
  <c r="H215" i="1" s="1"/>
  <c r="P214" i="1"/>
  <c r="R214" i="1" s="1"/>
  <c r="N214" i="1"/>
  <c r="H214" i="1"/>
  <c r="R213" i="1"/>
  <c r="N213" i="1"/>
  <c r="F213" i="1"/>
  <c r="H213" i="1" s="1"/>
  <c r="Q212" i="1"/>
  <c r="R212" i="1" s="1"/>
  <c r="N212" i="1"/>
  <c r="F212" i="1"/>
  <c r="H212" i="1" s="1"/>
  <c r="R211" i="1"/>
  <c r="N211" i="1"/>
  <c r="F211" i="1"/>
  <c r="R210" i="1"/>
  <c r="N210" i="1"/>
  <c r="F210" i="1"/>
  <c r="R209" i="1"/>
  <c r="N209" i="1"/>
  <c r="F209" i="1"/>
  <c r="R208" i="1"/>
  <c r="N208" i="1"/>
  <c r="F208" i="1"/>
  <c r="R207" i="1"/>
  <c r="N207" i="1"/>
  <c r="F207" i="1"/>
  <c r="R206" i="1"/>
  <c r="N206" i="1"/>
  <c r="F206" i="1"/>
  <c r="R205" i="1"/>
  <c r="N205" i="1"/>
  <c r="F205" i="1"/>
  <c r="H205" i="1" s="1"/>
  <c r="R204" i="1"/>
  <c r="N204" i="1"/>
  <c r="F204" i="1"/>
  <c r="R203" i="1"/>
  <c r="N203" i="1"/>
  <c r="F203" i="1"/>
  <c r="R202" i="1"/>
  <c r="N202" i="1"/>
  <c r="F202" i="1"/>
  <c r="H202" i="1" s="1"/>
  <c r="R201" i="1"/>
  <c r="N201" i="1"/>
  <c r="F201" i="1"/>
  <c r="H201" i="1" s="1"/>
  <c r="R200" i="1"/>
  <c r="N200" i="1"/>
  <c r="F200" i="1"/>
  <c r="R199" i="1"/>
  <c r="N199" i="1"/>
  <c r="F199" i="1"/>
  <c r="H199" i="1" s="1"/>
  <c r="R198" i="1"/>
  <c r="N198" i="1"/>
  <c r="H198" i="1"/>
  <c r="R197" i="1"/>
  <c r="N197" i="1"/>
  <c r="F197" i="1"/>
  <c r="H197" i="1" s="1"/>
  <c r="P196" i="1"/>
  <c r="R196" i="1" s="1"/>
  <c r="N196" i="1"/>
  <c r="H196" i="1"/>
  <c r="R195" i="1"/>
  <c r="N195" i="1"/>
  <c r="F195" i="1"/>
  <c r="R194" i="1"/>
  <c r="N194" i="1"/>
  <c r="F194" i="1"/>
  <c r="H194" i="1" s="1"/>
  <c r="R193" i="1"/>
  <c r="N193" i="1"/>
  <c r="H193" i="1"/>
  <c r="R192" i="1"/>
  <c r="N192" i="1"/>
  <c r="F192" i="1"/>
  <c r="H192" i="1" s="1"/>
  <c r="R191" i="1"/>
  <c r="N191" i="1"/>
  <c r="F191" i="1"/>
  <c r="R190" i="1"/>
  <c r="N190" i="1"/>
  <c r="F190" i="1"/>
  <c r="R189" i="1"/>
  <c r="N189" i="1"/>
  <c r="J189" i="1"/>
  <c r="F189" i="1"/>
  <c r="H189" i="1" s="1"/>
  <c r="R188" i="1"/>
  <c r="N188" i="1"/>
  <c r="F188" i="1"/>
  <c r="H188" i="1" s="1"/>
  <c r="R187" i="1"/>
  <c r="N187" i="1"/>
  <c r="F187" i="1"/>
  <c r="R186" i="1"/>
  <c r="N186" i="1"/>
  <c r="F186" i="1"/>
  <c r="R185" i="1"/>
  <c r="N185" i="1"/>
  <c r="F185" i="1"/>
  <c r="R184" i="1"/>
  <c r="N184" i="1"/>
  <c r="F184" i="1"/>
  <c r="H184" i="1" s="1"/>
  <c r="R183" i="1"/>
  <c r="N183" i="1"/>
  <c r="F183" i="1"/>
  <c r="B183" i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R182" i="1"/>
  <c r="N182" i="1"/>
  <c r="F182" i="1"/>
  <c r="H182" i="1" s="1"/>
  <c r="T176" i="1"/>
  <c r="O176" i="1"/>
  <c r="M176" i="1"/>
  <c r="L176" i="1"/>
  <c r="K176" i="1"/>
  <c r="J176" i="1"/>
  <c r="I176" i="1"/>
  <c r="R174" i="1"/>
  <c r="N174" i="1"/>
  <c r="F174" i="1"/>
  <c r="F176" i="1" s="1"/>
  <c r="B174" i="1"/>
  <c r="B176" i="1" s="1"/>
  <c r="P173" i="1"/>
  <c r="N173" i="1"/>
  <c r="H173" i="1"/>
  <c r="T168" i="1"/>
  <c r="O168" i="1"/>
  <c r="M168" i="1"/>
  <c r="L168" i="1"/>
  <c r="J168" i="1"/>
  <c r="I168" i="1"/>
  <c r="R166" i="1"/>
  <c r="N166" i="1"/>
  <c r="H166" i="1"/>
  <c r="R165" i="1"/>
  <c r="N165" i="1"/>
  <c r="H165" i="1"/>
  <c r="R164" i="1"/>
  <c r="N164" i="1"/>
  <c r="H164" i="1"/>
  <c r="R163" i="1"/>
  <c r="N163" i="1"/>
  <c r="H163" i="1"/>
  <c r="R162" i="1"/>
  <c r="N162" i="1"/>
  <c r="H162" i="1"/>
  <c r="B162" i="1"/>
  <c r="B163" i="1" s="1"/>
  <c r="B164" i="1" s="1"/>
  <c r="B165" i="1" s="1"/>
  <c r="B166" i="1" s="1"/>
  <c r="R161" i="1"/>
  <c r="N161" i="1"/>
  <c r="H161" i="1"/>
  <c r="R158" i="1"/>
  <c r="N158" i="1"/>
  <c r="K158" i="1"/>
  <c r="H158" i="1"/>
  <c r="P157" i="1"/>
  <c r="R157" i="1" s="1"/>
  <c r="N157" i="1"/>
  <c r="K157" i="1"/>
  <c r="H157" i="1"/>
  <c r="P156" i="1"/>
  <c r="N156" i="1"/>
  <c r="K156" i="1"/>
  <c r="F156" i="1"/>
  <c r="F168" i="1" s="1"/>
  <c r="R155" i="1"/>
  <c r="N155" i="1"/>
  <c r="K155" i="1"/>
  <c r="H155" i="1"/>
  <c r="R154" i="1"/>
  <c r="N154" i="1"/>
  <c r="K154" i="1"/>
  <c r="H154" i="1"/>
  <c r="R153" i="1"/>
  <c r="N153" i="1"/>
  <c r="K153" i="1"/>
  <c r="H153" i="1"/>
  <c r="R152" i="1"/>
  <c r="N152" i="1"/>
  <c r="H152" i="1"/>
  <c r="P151" i="1"/>
  <c r="N151" i="1"/>
  <c r="K151" i="1"/>
  <c r="H151" i="1"/>
  <c r="R150" i="1"/>
  <c r="N150" i="1"/>
  <c r="K150" i="1"/>
  <c r="H150" i="1"/>
  <c r="R149" i="1"/>
  <c r="N149" i="1"/>
  <c r="K149" i="1"/>
  <c r="H149" i="1"/>
  <c r="P148" i="1"/>
  <c r="N148" i="1"/>
  <c r="H148" i="1"/>
  <c r="R147" i="1"/>
  <c r="N147" i="1"/>
  <c r="K147" i="1"/>
  <c r="H147" i="1"/>
  <c r="R146" i="1"/>
  <c r="N146" i="1"/>
  <c r="K146" i="1"/>
  <c r="H146" i="1"/>
  <c r="P145" i="1"/>
  <c r="N145" i="1"/>
  <c r="K145" i="1"/>
  <c r="H145" i="1"/>
  <c r="P144" i="1"/>
  <c r="N144" i="1"/>
  <c r="K144" i="1"/>
  <c r="H144" i="1"/>
  <c r="R143" i="1"/>
  <c r="N143" i="1"/>
  <c r="K143" i="1"/>
  <c r="H143" i="1"/>
  <c r="R142" i="1"/>
  <c r="N142" i="1"/>
  <c r="K142" i="1"/>
  <c r="H142" i="1"/>
  <c r="Q141" i="1"/>
  <c r="P141" i="1"/>
  <c r="N141" i="1"/>
  <c r="K141" i="1"/>
  <c r="H141" i="1"/>
  <c r="R140" i="1"/>
  <c r="N140" i="1"/>
  <c r="K140" i="1"/>
  <c r="H140" i="1"/>
  <c r="P139" i="1"/>
  <c r="N139" i="1"/>
  <c r="K139" i="1"/>
  <c r="H139" i="1"/>
  <c r="R138" i="1"/>
  <c r="N138" i="1"/>
  <c r="K138" i="1"/>
  <c r="H138" i="1"/>
  <c r="P137" i="1"/>
  <c r="R137" i="1" s="1"/>
  <c r="N137" i="1"/>
  <c r="K137" i="1"/>
  <c r="H137" i="1"/>
  <c r="B137" i="1"/>
  <c r="R136" i="1"/>
  <c r="N136" i="1"/>
  <c r="K136" i="1"/>
  <c r="H136" i="1"/>
  <c r="T131" i="1"/>
  <c r="O131" i="1"/>
  <c r="M131" i="1"/>
  <c r="L131" i="1"/>
  <c r="J131" i="1"/>
  <c r="I131" i="1"/>
  <c r="F131" i="1"/>
  <c r="P129" i="1"/>
  <c r="N129" i="1"/>
  <c r="K129" i="1"/>
  <c r="H129" i="1"/>
  <c r="R128" i="1"/>
  <c r="N128" i="1"/>
  <c r="K128" i="1"/>
  <c r="H128" i="1"/>
  <c r="R127" i="1"/>
  <c r="N127" i="1"/>
  <c r="H127" i="1"/>
  <c r="P126" i="1"/>
  <c r="N126" i="1"/>
  <c r="K126" i="1"/>
  <c r="H126" i="1"/>
  <c r="R125" i="1"/>
  <c r="N125" i="1"/>
  <c r="K125" i="1"/>
  <c r="H125" i="1"/>
  <c r="R124" i="1"/>
  <c r="N124" i="1"/>
  <c r="K124" i="1"/>
  <c r="H124" i="1"/>
  <c r="P123" i="1"/>
  <c r="N123" i="1"/>
  <c r="K123" i="1"/>
  <c r="H123" i="1"/>
  <c r="P122" i="1"/>
  <c r="N122" i="1"/>
  <c r="K122" i="1"/>
  <c r="H122" i="1"/>
  <c r="R121" i="1"/>
  <c r="N121" i="1"/>
  <c r="K121" i="1"/>
  <c r="H121" i="1"/>
  <c r="P120" i="1"/>
  <c r="R120" i="1" s="1"/>
  <c r="N120" i="1"/>
  <c r="K120" i="1"/>
  <c r="H120" i="1"/>
  <c r="P119" i="1"/>
  <c r="R119" i="1" s="1"/>
  <c r="N119" i="1"/>
  <c r="K119" i="1"/>
  <c r="H119" i="1"/>
  <c r="P118" i="1"/>
  <c r="R118" i="1" s="1"/>
  <c r="N118" i="1"/>
  <c r="K118" i="1"/>
  <c r="H118" i="1"/>
  <c r="R117" i="1"/>
  <c r="N117" i="1"/>
  <c r="K117" i="1"/>
  <c r="H117" i="1"/>
  <c r="R116" i="1"/>
  <c r="N116" i="1"/>
  <c r="K116" i="1"/>
  <c r="H116" i="1"/>
  <c r="R115" i="1"/>
  <c r="N115" i="1"/>
  <c r="K115" i="1"/>
  <c r="H115" i="1"/>
  <c r="P114" i="1"/>
  <c r="N114" i="1"/>
  <c r="K114" i="1"/>
  <c r="H114" i="1"/>
  <c r="P113" i="1"/>
  <c r="R113" i="1" s="1"/>
  <c r="N113" i="1"/>
  <c r="K113" i="1"/>
  <c r="H113" i="1"/>
  <c r="P112" i="1"/>
  <c r="R112" i="1" s="1"/>
  <c r="N112" i="1"/>
  <c r="K112" i="1"/>
  <c r="H112" i="1"/>
  <c r="R111" i="1"/>
  <c r="N111" i="1"/>
  <c r="K111" i="1"/>
  <c r="H111" i="1"/>
  <c r="B111" i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P110" i="1"/>
  <c r="N110" i="1"/>
  <c r="K110" i="1"/>
  <c r="H110" i="1"/>
  <c r="T105" i="1"/>
  <c r="O105" i="1"/>
  <c r="L105" i="1"/>
  <c r="I105" i="1"/>
  <c r="R103" i="1"/>
  <c r="N103" i="1"/>
  <c r="H103" i="1"/>
  <c r="R102" i="1"/>
  <c r="N102" i="1"/>
  <c r="H102" i="1"/>
  <c r="R101" i="1"/>
  <c r="N101" i="1"/>
  <c r="J101" i="1"/>
  <c r="F101" i="1"/>
  <c r="H101" i="1" s="1"/>
  <c r="R100" i="1"/>
  <c r="N100" i="1"/>
  <c r="F100" i="1"/>
  <c r="B100" i="1"/>
  <c r="B101" i="1" s="1"/>
  <c r="B102" i="1" s="1"/>
  <c r="B103" i="1" s="1"/>
  <c r="R99" i="1"/>
  <c r="N99" i="1"/>
  <c r="H99" i="1"/>
  <c r="R96" i="1"/>
  <c r="N96" i="1"/>
  <c r="K96" i="1"/>
  <c r="F96" i="1"/>
  <c r="H96" i="1" s="1"/>
  <c r="R95" i="1"/>
  <c r="N95" i="1"/>
  <c r="H95" i="1"/>
  <c r="R94" i="1"/>
  <c r="N94" i="1"/>
  <c r="F94" i="1"/>
  <c r="H94" i="1" s="1"/>
  <c r="P93" i="1"/>
  <c r="N93" i="1"/>
  <c r="F93" i="1"/>
  <c r="R92" i="1"/>
  <c r="N92" i="1"/>
  <c r="F92" i="1"/>
  <c r="H92" i="1" s="1"/>
  <c r="P91" i="1"/>
  <c r="N91" i="1"/>
  <c r="H91" i="1"/>
  <c r="R90" i="1"/>
  <c r="N90" i="1"/>
  <c r="F90" i="1"/>
  <c r="R89" i="1"/>
  <c r="N89" i="1"/>
  <c r="H89" i="1"/>
  <c r="R88" i="1"/>
  <c r="N88" i="1"/>
  <c r="H88" i="1"/>
  <c r="P87" i="1"/>
  <c r="N87" i="1"/>
  <c r="H87" i="1"/>
  <c r="R86" i="1"/>
  <c r="N86" i="1"/>
  <c r="F86" i="1"/>
  <c r="H86" i="1" s="1"/>
  <c r="R85" i="1"/>
  <c r="M85" i="1"/>
  <c r="M105" i="1" s="1"/>
  <c r="F85" i="1"/>
  <c r="R84" i="1"/>
  <c r="N84" i="1"/>
  <c r="F84" i="1"/>
  <c r="R83" i="1"/>
  <c r="N83" i="1"/>
  <c r="H83" i="1"/>
  <c r="R82" i="1"/>
  <c r="N82" i="1"/>
  <c r="J82" i="1"/>
  <c r="F82" i="1"/>
  <c r="H82" i="1" s="1"/>
  <c r="R81" i="1"/>
  <c r="N81" i="1"/>
  <c r="K81" i="1"/>
  <c r="H81" i="1"/>
  <c r="R80" i="1"/>
  <c r="N80" i="1"/>
  <c r="K80" i="1"/>
  <c r="F80" i="1"/>
  <c r="R79" i="1"/>
  <c r="N79" i="1"/>
  <c r="K79" i="1"/>
  <c r="H79" i="1"/>
  <c r="R78" i="1"/>
  <c r="N78" i="1"/>
  <c r="H78" i="1"/>
  <c r="P77" i="1"/>
  <c r="N77" i="1"/>
  <c r="H77" i="1"/>
  <c r="R76" i="1"/>
  <c r="N76" i="1"/>
  <c r="H76" i="1"/>
  <c r="R75" i="1"/>
  <c r="N75" i="1"/>
  <c r="F75" i="1"/>
  <c r="R74" i="1"/>
  <c r="N74" i="1"/>
  <c r="K74" i="1"/>
  <c r="H74" i="1"/>
  <c r="R73" i="1"/>
  <c r="N73" i="1"/>
  <c r="H73" i="1"/>
  <c r="R72" i="1"/>
  <c r="N72" i="1"/>
  <c r="K72" i="1"/>
  <c r="F72" i="1"/>
  <c r="R71" i="1"/>
  <c r="N71" i="1"/>
  <c r="F71" i="1"/>
  <c r="B71" i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R70" i="1"/>
  <c r="N70" i="1"/>
  <c r="H70" i="1"/>
  <c r="T65" i="1"/>
  <c r="O65" i="1"/>
  <c r="M65" i="1"/>
  <c r="L65" i="1"/>
  <c r="I65" i="1"/>
  <c r="R63" i="1"/>
  <c r="N63" i="1"/>
  <c r="J63" i="1"/>
  <c r="F63" i="1"/>
  <c r="R62" i="1"/>
  <c r="N62" i="1"/>
  <c r="F62" i="1"/>
  <c r="R61" i="1"/>
  <c r="N61" i="1"/>
  <c r="H61" i="1"/>
  <c r="B61" i="1"/>
  <c r="B62" i="1" s="1"/>
  <c r="B63" i="1" s="1"/>
  <c r="R60" i="1"/>
  <c r="N60" i="1"/>
  <c r="H60" i="1"/>
  <c r="R57" i="1"/>
  <c r="N57" i="1"/>
  <c r="H57" i="1"/>
  <c r="P56" i="1"/>
  <c r="N56" i="1"/>
  <c r="K56" i="1"/>
  <c r="K65" i="1" s="1"/>
  <c r="F56" i="1"/>
  <c r="H56" i="1" s="1"/>
  <c r="B56" i="1"/>
  <c r="B57" i="1" s="1"/>
  <c r="R55" i="1"/>
  <c r="N55" i="1"/>
  <c r="F55" i="1"/>
  <c r="T50" i="1"/>
  <c r="O50" i="1"/>
  <c r="L50" i="1"/>
  <c r="J50" i="1"/>
  <c r="I50" i="1"/>
  <c r="R48" i="1"/>
  <c r="N48" i="1"/>
  <c r="F48" i="1"/>
  <c r="B48" i="1"/>
  <c r="R47" i="1"/>
  <c r="N47" i="1"/>
  <c r="H47" i="1"/>
  <c r="R44" i="1"/>
  <c r="N44" i="1"/>
  <c r="H44" i="1"/>
  <c r="R43" i="1"/>
  <c r="N43" i="1"/>
  <c r="H43" i="1"/>
  <c r="R42" i="1"/>
  <c r="N42" i="1"/>
  <c r="F42" i="1"/>
  <c r="R41" i="1"/>
  <c r="N41" i="1"/>
  <c r="F41" i="1"/>
  <c r="H41" i="1" s="1"/>
  <c r="R40" i="1"/>
  <c r="N40" i="1"/>
  <c r="H40" i="1"/>
  <c r="R39" i="1"/>
  <c r="N39" i="1"/>
  <c r="F39" i="1"/>
  <c r="R38" i="1"/>
  <c r="N38" i="1"/>
  <c r="F38" i="1"/>
  <c r="R37" i="1"/>
  <c r="M37" i="1"/>
  <c r="N37" i="1" s="1"/>
  <c r="H37" i="1"/>
  <c r="R36" i="1"/>
  <c r="N36" i="1"/>
  <c r="H36" i="1"/>
  <c r="R35" i="1"/>
  <c r="N35" i="1"/>
  <c r="F35" i="1"/>
  <c r="R34" i="1"/>
  <c r="N34" i="1"/>
  <c r="F34" i="1"/>
  <c r="H34" i="1" s="1"/>
  <c r="R33" i="1"/>
  <c r="N33" i="1"/>
  <c r="F33" i="1"/>
  <c r="R32" i="1"/>
  <c r="N32" i="1"/>
  <c r="H32" i="1"/>
  <c r="R31" i="1"/>
  <c r="N31" i="1"/>
  <c r="F31" i="1"/>
  <c r="H31" i="1" s="1"/>
  <c r="R30" i="1"/>
  <c r="N30" i="1"/>
  <c r="F30" i="1"/>
  <c r="R29" i="1"/>
  <c r="N29" i="1"/>
  <c r="K29" i="1"/>
  <c r="K50" i="1" s="1"/>
  <c r="F29" i="1"/>
  <c r="H29" i="1" s="1"/>
  <c r="R28" i="1"/>
  <c r="N28" i="1"/>
  <c r="F28" i="1"/>
  <c r="R27" i="1"/>
  <c r="N27" i="1"/>
  <c r="F27" i="1"/>
  <c r="R26" i="1"/>
  <c r="N26" i="1"/>
  <c r="F26" i="1"/>
  <c r="R25" i="1"/>
  <c r="N25" i="1"/>
  <c r="H25" i="1"/>
  <c r="R24" i="1"/>
  <c r="N24" i="1"/>
  <c r="F24" i="1"/>
  <c r="R23" i="1"/>
  <c r="N23" i="1"/>
  <c r="F23" i="1"/>
  <c r="H23" i="1" s="1"/>
  <c r="B23" i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R22" i="1"/>
  <c r="N22" i="1"/>
  <c r="F22" i="1"/>
  <c r="H22" i="1" s="1"/>
  <c r="T17" i="1"/>
  <c r="O17" i="1"/>
  <c r="M17" i="1"/>
  <c r="L17" i="1"/>
  <c r="K17" i="1"/>
  <c r="J17" i="1"/>
  <c r="I17" i="1"/>
  <c r="R15" i="1"/>
  <c r="N15" i="1"/>
  <c r="H15" i="1"/>
  <c r="B15" i="1"/>
  <c r="R14" i="1"/>
  <c r="N14" i="1"/>
  <c r="H14" i="1"/>
  <c r="R11" i="1"/>
  <c r="N11" i="1"/>
  <c r="F11" i="1"/>
  <c r="H11" i="1" s="1"/>
  <c r="R10" i="1"/>
  <c r="N10" i="1"/>
  <c r="H10" i="1"/>
  <c r="B10" i="1"/>
  <c r="B11" i="1" s="1"/>
  <c r="R9" i="1"/>
  <c r="N9" i="1"/>
  <c r="H9" i="1"/>
  <c r="N357" i="1" l="1"/>
  <c r="B17" i="1"/>
  <c r="H558" i="1"/>
  <c r="H299" i="1"/>
  <c r="H730" i="1"/>
  <c r="N443" i="1"/>
  <c r="H688" i="1"/>
  <c r="H317" i="1"/>
  <c r="R375" i="1"/>
  <c r="H71" i="1"/>
  <c r="H270" i="1"/>
  <c r="R469" i="1"/>
  <c r="R173" i="1"/>
  <c r="H344" i="1"/>
  <c r="H369" i="1"/>
  <c r="R141" i="1"/>
  <c r="R114" i="1"/>
  <c r="H287" i="1"/>
  <c r="N588" i="1"/>
  <c r="R658" i="1"/>
  <c r="H290" i="1"/>
  <c r="H271" i="1"/>
  <c r="H310" i="1"/>
  <c r="H449" i="1"/>
  <c r="H453" i="1" s="1"/>
  <c r="R464" i="1"/>
  <c r="R534" i="1"/>
  <c r="H786" i="1"/>
  <c r="H573" i="1"/>
  <c r="F453" i="1"/>
  <c r="N752" i="1"/>
  <c r="M798" i="1"/>
  <c r="R122" i="1"/>
  <c r="R461" i="1"/>
  <c r="H676" i="1"/>
  <c r="H80" i="1"/>
  <c r="H300" i="1"/>
  <c r="H301" i="1"/>
  <c r="B443" i="1"/>
  <c r="R487" i="1"/>
  <c r="R585" i="1"/>
  <c r="K625" i="1"/>
  <c r="H314" i="1"/>
  <c r="R517" i="1"/>
  <c r="H338" i="1"/>
  <c r="N50" i="1"/>
  <c r="H156" i="1"/>
  <c r="J247" i="1"/>
  <c r="R459" i="1"/>
  <c r="H656" i="1"/>
  <c r="H366" i="1"/>
  <c r="F395" i="1"/>
  <c r="H72" i="1"/>
  <c r="H234" i="1"/>
  <c r="H93" i="1"/>
  <c r="R56" i="1"/>
  <c r="H208" i="1"/>
  <c r="K131" i="1"/>
  <c r="H244" i="1"/>
  <c r="H282" i="1"/>
  <c r="N395" i="1"/>
  <c r="H28" i="1"/>
  <c r="J105" i="1"/>
  <c r="H185" i="1"/>
  <c r="H260" i="1"/>
  <c r="R439" i="1"/>
  <c r="N247" i="1"/>
  <c r="H30" i="1"/>
  <c r="R145" i="1"/>
  <c r="R151" i="1"/>
  <c r="H206" i="1"/>
  <c r="R77" i="1"/>
  <c r="H356" i="1"/>
  <c r="R619" i="1"/>
  <c r="N65" i="1"/>
  <c r="B65" i="1"/>
  <c r="N477" i="1"/>
  <c r="H27" i="1"/>
  <c r="F65" i="1"/>
  <c r="H236" i="1"/>
  <c r="F264" i="1"/>
  <c r="N324" i="1"/>
  <c r="H276" i="1"/>
  <c r="H278" i="1"/>
  <c r="H280" i="1"/>
  <c r="H285" i="1"/>
  <c r="H292" i="1"/>
  <c r="H297" i="1"/>
  <c r="R303" i="1"/>
  <c r="H339" i="1"/>
  <c r="R462" i="1"/>
  <c r="H421" i="1"/>
  <c r="N168" i="1"/>
  <c r="R336" i="1"/>
  <c r="H341" i="1"/>
  <c r="H485" i="1"/>
  <c r="N264" i="1"/>
  <c r="B484" i="1"/>
  <c r="B485" i="1" s="1"/>
  <c r="B486" i="1" s="1"/>
  <c r="B487" i="1" s="1"/>
  <c r="B488" i="1" s="1"/>
  <c r="B489" i="1" s="1"/>
  <c r="H584" i="1"/>
  <c r="H588" i="1" s="1"/>
  <c r="R663" i="1"/>
  <c r="R156" i="1"/>
  <c r="N424" i="1"/>
  <c r="H633" i="1"/>
  <c r="R639" i="1"/>
  <c r="N176" i="1"/>
  <c r="H288" i="1"/>
  <c r="H440" i="1"/>
  <c r="R662" i="1"/>
  <c r="F564" i="1"/>
  <c r="F588" i="1"/>
  <c r="N131" i="1"/>
  <c r="F105" i="1"/>
  <c r="H430" i="1"/>
  <c r="J477" i="1"/>
  <c r="N706" i="1"/>
  <c r="H763" i="1"/>
  <c r="N528" i="1"/>
  <c r="N494" i="1"/>
  <c r="N504" i="1"/>
  <c r="H515" i="1"/>
  <c r="N545" i="1"/>
  <c r="R621" i="1"/>
  <c r="R623" i="1"/>
  <c r="H668" i="1"/>
  <c r="R684" i="1"/>
  <c r="F494" i="1"/>
  <c r="R556" i="1"/>
  <c r="H738" i="1"/>
  <c r="H796" i="1"/>
  <c r="H483" i="1"/>
  <c r="R502" i="1"/>
  <c r="H652" i="1"/>
  <c r="J752" i="1"/>
  <c r="H805" i="1"/>
  <c r="H673" i="1"/>
  <c r="H741" i="1"/>
  <c r="R745" i="1"/>
  <c r="N434" i="1"/>
  <c r="R468" i="1"/>
  <c r="F720" i="1"/>
  <c r="N807" i="1"/>
  <c r="H17" i="1"/>
  <c r="H24" i="1"/>
  <c r="K105" i="1"/>
  <c r="H100" i="1"/>
  <c r="B105" i="1"/>
  <c r="H55" i="1"/>
  <c r="N85" i="1"/>
  <c r="N105" i="1" s="1"/>
  <c r="H90" i="1"/>
  <c r="R123" i="1"/>
  <c r="K168" i="1"/>
  <c r="H62" i="1"/>
  <c r="R93" i="1"/>
  <c r="B131" i="1"/>
  <c r="B464" i="1"/>
  <c r="B465" i="1" s="1"/>
  <c r="B466" i="1" s="1"/>
  <c r="B467" i="1" s="1"/>
  <c r="B468" i="1" s="1"/>
  <c r="B469" i="1" s="1"/>
  <c r="B470" i="1" s="1"/>
  <c r="B471" i="1" s="1"/>
  <c r="B472" i="1" s="1"/>
  <c r="R126" i="1"/>
  <c r="R144" i="1"/>
  <c r="F17" i="1"/>
  <c r="H35" i="1"/>
  <c r="H26" i="1"/>
  <c r="H42" i="1"/>
  <c r="H84" i="1"/>
  <c r="R139" i="1"/>
  <c r="H48" i="1"/>
  <c r="B50" i="1"/>
  <c r="R91" i="1"/>
  <c r="R110" i="1"/>
  <c r="H33" i="1"/>
  <c r="F50" i="1"/>
  <c r="R87" i="1"/>
  <c r="B138" i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H183" i="1"/>
  <c r="R281" i="1"/>
  <c r="H63" i="1"/>
  <c r="H190" i="1"/>
  <c r="H235" i="1"/>
  <c r="H283" i="1"/>
  <c r="H408" i="1"/>
  <c r="F434" i="1"/>
  <c r="B453" i="1"/>
  <c r="H537" i="1"/>
  <c r="H38" i="1"/>
  <c r="M50" i="1"/>
  <c r="J65" i="1"/>
  <c r="H85" i="1"/>
  <c r="R129" i="1"/>
  <c r="H174" i="1"/>
  <c r="H252" i="1"/>
  <c r="R286" i="1"/>
  <c r="B324" i="1"/>
  <c r="H403" i="1"/>
  <c r="H429" i="1"/>
  <c r="M453" i="1"/>
  <c r="N448" i="1"/>
  <c r="N453" i="1" s="1"/>
  <c r="F528" i="1"/>
  <c r="H510" i="1"/>
  <c r="F324" i="1"/>
  <c r="J443" i="1"/>
  <c r="H186" i="1"/>
  <c r="H207" i="1"/>
  <c r="H209" i="1"/>
  <c r="H240" i="1"/>
  <c r="R279" i="1"/>
  <c r="F349" i="1"/>
  <c r="H336" i="1"/>
  <c r="B349" i="1"/>
  <c r="B402" i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4" i="1" s="1"/>
  <c r="B416" i="1" s="1"/>
  <c r="B417" i="1" s="1"/>
  <c r="H416" i="1"/>
  <c r="R501" i="1"/>
  <c r="H191" i="1"/>
  <c r="H203" i="1"/>
  <c r="R400" i="1"/>
  <c r="H417" i="1"/>
  <c r="R448" i="1"/>
  <c r="H470" i="1"/>
  <c r="B555" i="1"/>
  <c r="B556" i="1" s="1"/>
  <c r="B557" i="1" s="1"/>
  <c r="B558" i="1" s="1"/>
  <c r="N349" i="1"/>
  <c r="H562" i="1"/>
  <c r="H187" i="1"/>
  <c r="H210" i="1"/>
  <c r="H245" i="1"/>
  <c r="H298" i="1"/>
  <c r="H304" i="1"/>
  <c r="H329" i="1"/>
  <c r="F357" i="1"/>
  <c r="H355" i="1"/>
  <c r="B247" i="1"/>
  <c r="B254" i="1"/>
  <c r="B255" i="1" s="1"/>
  <c r="B256" i="1" s="1"/>
  <c r="H256" i="1"/>
  <c r="H315" i="1"/>
  <c r="B432" i="1"/>
  <c r="B434" i="1" s="1"/>
  <c r="R466" i="1"/>
  <c r="H413" i="1"/>
  <c r="F424" i="1"/>
  <c r="F443" i="1"/>
  <c r="H274" i="1"/>
  <c r="R340" i="1"/>
  <c r="B502" i="1"/>
  <c r="B504" i="1" s="1"/>
  <c r="H200" i="1"/>
  <c r="R148" i="1"/>
  <c r="H242" i="1"/>
  <c r="N17" i="1"/>
  <c r="H39" i="1"/>
  <c r="H75" i="1"/>
  <c r="H131" i="1"/>
  <c r="F247" i="1"/>
  <c r="H195" i="1"/>
  <c r="H204" i="1"/>
  <c r="H211" i="1"/>
  <c r="R216" i="1"/>
  <c r="H226" i="1"/>
  <c r="H254" i="1"/>
  <c r="R292" i="1"/>
  <c r="F331" i="1"/>
  <c r="B395" i="1"/>
  <c r="H431" i="1"/>
  <c r="H600" i="1"/>
  <c r="H308" i="1"/>
  <c r="R401" i="1"/>
  <c r="R541" i="1"/>
  <c r="R551" i="1"/>
  <c r="N573" i="1"/>
  <c r="N577" i="1" s="1"/>
  <c r="M577" i="1"/>
  <c r="N625" i="1"/>
  <c r="N643" i="1"/>
  <c r="R653" i="1"/>
  <c r="B535" i="1"/>
  <c r="B536" i="1" s="1"/>
  <c r="B537" i="1" s="1"/>
  <c r="B538" i="1" s="1"/>
  <c r="B539" i="1" s="1"/>
  <c r="B540" i="1" s="1"/>
  <c r="B541" i="1" s="1"/>
  <c r="B542" i="1" s="1"/>
  <c r="B543" i="1" s="1"/>
  <c r="F577" i="1"/>
  <c r="H570" i="1"/>
  <c r="N695" i="1"/>
  <c r="R482" i="1"/>
  <c r="R499" i="1"/>
  <c r="H504" i="1"/>
  <c r="R596" i="1"/>
  <c r="H605" i="1"/>
  <c r="R711" i="1"/>
  <c r="H713" i="1"/>
  <c r="H720" i="1" s="1"/>
  <c r="H779" i="1"/>
  <c r="H521" i="1"/>
  <c r="N564" i="1"/>
  <c r="F643" i="1"/>
  <c r="H632" i="1"/>
  <c r="H598" i="1"/>
  <c r="H607" i="1"/>
  <c r="H555" i="1"/>
  <c r="B613" i="1"/>
  <c r="H674" i="1"/>
  <c r="H524" i="1"/>
  <c r="R651" i="1"/>
  <c r="R660" i="1"/>
  <c r="F477" i="1"/>
  <c r="R500" i="1"/>
  <c r="B528" i="1"/>
  <c r="H536" i="1"/>
  <c r="F545" i="1"/>
  <c r="I678" i="1"/>
  <c r="F706" i="1"/>
  <c r="H700" i="1"/>
  <c r="H733" i="1"/>
  <c r="H463" i="1"/>
  <c r="H465" i="1"/>
  <c r="R471" i="1"/>
  <c r="R558" i="1"/>
  <c r="K577" i="1"/>
  <c r="B584" i="1"/>
  <c r="B585" i="1" s="1"/>
  <c r="B586" i="1" s="1"/>
  <c r="B620" i="1"/>
  <c r="B621" i="1" s="1"/>
  <c r="B622" i="1" s="1"/>
  <c r="B623" i="1" s="1"/>
  <c r="H595" i="1"/>
  <c r="F613" i="1"/>
  <c r="B715" i="1"/>
  <c r="B720" i="1" s="1"/>
  <c r="R657" i="1"/>
  <c r="H764" i="1"/>
  <c r="H664" i="1"/>
  <c r="R734" i="1"/>
  <c r="N613" i="1"/>
  <c r="R602" i="1"/>
  <c r="B678" i="1"/>
  <c r="H665" i="1"/>
  <c r="H701" i="1"/>
  <c r="H606" i="1"/>
  <c r="J678" i="1"/>
  <c r="F678" i="1"/>
  <c r="H758" i="1"/>
  <c r="B643" i="1"/>
  <c r="B685" i="1"/>
  <c r="B686" i="1" s="1"/>
  <c r="B687" i="1" s="1"/>
  <c r="B688" i="1" s="1"/>
  <c r="B689" i="1" s="1"/>
  <c r="R659" i="1"/>
  <c r="B577" i="1"/>
  <c r="H594" i="1"/>
  <c r="F695" i="1"/>
  <c r="B752" i="1"/>
  <c r="N769" i="1"/>
  <c r="F625" i="1"/>
  <c r="H618" i="1"/>
  <c r="N798" i="1"/>
  <c r="H777" i="1"/>
  <c r="N720" i="1"/>
  <c r="F769" i="1"/>
  <c r="H727" i="1"/>
  <c r="R737" i="1"/>
  <c r="R743" i="1"/>
  <c r="H762" i="1"/>
  <c r="R761" i="1"/>
  <c r="R735" i="1"/>
  <c r="H775" i="1"/>
  <c r="B776" i="1"/>
  <c r="B777" i="1" s="1"/>
  <c r="B778" i="1" s="1"/>
  <c r="B779" i="1" s="1"/>
  <c r="B780" i="1" s="1"/>
  <c r="B781" i="1" s="1"/>
  <c r="B782" i="1" s="1"/>
  <c r="B783" i="1" s="1"/>
  <c r="B784" i="1" s="1"/>
  <c r="B785" i="1" s="1"/>
  <c r="B786" i="1" s="1"/>
  <c r="B787" i="1" s="1"/>
  <c r="B788" i="1" s="1"/>
  <c r="B789" i="1" s="1"/>
  <c r="B790" i="1" s="1"/>
  <c r="B791" i="1" s="1"/>
  <c r="R760" i="1"/>
  <c r="B759" i="1"/>
  <c r="B760" i="1" s="1"/>
  <c r="B761" i="1" s="1"/>
  <c r="B762" i="1" s="1"/>
  <c r="B763" i="1" s="1"/>
  <c r="B764" i="1" s="1"/>
  <c r="N678" i="1"/>
  <c r="H693" i="1"/>
  <c r="H695" i="1" s="1"/>
  <c r="F798" i="1"/>
  <c r="R784" i="1"/>
  <c r="F752" i="1"/>
  <c r="H803" i="1"/>
  <c r="F807" i="1"/>
  <c r="H643" i="1" l="1"/>
  <c r="H477" i="1"/>
  <c r="H545" i="1"/>
  <c r="H443" i="1"/>
  <c r="B769" i="1"/>
  <c r="H168" i="1"/>
  <c r="B564" i="1"/>
  <c r="H424" i="1"/>
  <c r="H494" i="1"/>
  <c r="H564" i="1"/>
  <c r="H678" i="1"/>
  <c r="H528" i="1"/>
  <c r="B494" i="1"/>
  <c r="B264" i="1"/>
  <c r="H395" i="1"/>
  <c r="B695" i="1"/>
  <c r="H247" i="1"/>
  <c r="H613" i="1"/>
  <c r="H176" i="1"/>
  <c r="H706" i="1"/>
  <c r="B545" i="1"/>
  <c r="H752" i="1"/>
  <c r="H625" i="1"/>
  <c r="B798" i="1"/>
  <c r="H798" i="1"/>
  <c r="H331" i="1"/>
  <c r="H324" i="1"/>
  <c r="H434" i="1"/>
  <c r="H264" i="1"/>
  <c r="H807" i="1"/>
  <c r="I807" i="1" s="1"/>
  <c r="J807" i="1" s="1"/>
  <c r="K807" i="1" s="1"/>
  <c r="L807" i="1" s="1"/>
  <c r="M807" i="1" s="1"/>
  <c r="B588" i="1"/>
  <c r="B477" i="1"/>
  <c r="B168" i="1"/>
  <c r="H105" i="1"/>
  <c r="H50" i="1"/>
  <c r="H357" i="1"/>
  <c r="H65" i="1"/>
  <c r="H769" i="1"/>
  <c r="B424" i="1"/>
  <c r="B625" i="1"/>
  <c r="H577" i="1"/>
  <c r="H349" i="1"/>
</calcChain>
</file>

<file path=xl/sharedStrings.xml><?xml version="1.0" encoding="utf-8"?>
<sst xmlns="http://schemas.openxmlformats.org/spreadsheetml/2006/main" count="1176" uniqueCount="1135">
  <si>
    <t>DATA FOR THE YEAR 2023</t>
  </si>
  <si>
    <t>BANK /</t>
  </si>
  <si>
    <t>PROFIT</t>
  </si>
  <si>
    <t>TOTAL</t>
  </si>
  <si>
    <t>NUMBER</t>
  </si>
  <si>
    <t>DIVIDEND</t>
  </si>
  <si>
    <t>SR.</t>
  </si>
  <si>
    <t>SYMBOL</t>
  </si>
  <si>
    <t>YEAR</t>
  </si>
  <si>
    <t>PAID-UP</t>
  </si>
  <si>
    <t>FACE</t>
  </si>
  <si>
    <t>EQUITY</t>
  </si>
  <si>
    <t>SALES /</t>
  </si>
  <si>
    <t>FINANCIAL</t>
  </si>
  <si>
    <t>BEFORE</t>
  </si>
  <si>
    <t>TAXATION</t>
  </si>
  <si>
    <t>AFTER</t>
  </si>
  <si>
    <t>CAPITAL</t>
  </si>
  <si>
    <t>CASH</t>
  </si>
  <si>
    <t>STOCK</t>
  </si>
  <si>
    <t>RIGHT</t>
  </si>
  <si>
    <t>OF</t>
  </si>
  <si>
    <t>NO.</t>
  </si>
  <si>
    <t>NAME OF COMPANY</t>
  </si>
  <si>
    <t>END</t>
  </si>
  <si>
    <t>VALUE</t>
  </si>
  <si>
    <t>OF SHARE</t>
  </si>
  <si>
    <t>ASSETS</t>
  </si>
  <si>
    <t>TOTAL INCOME</t>
  </si>
  <si>
    <t>CHARGES</t>
  </si>
  <si>
    <t>ISSUE</t>
  </si>
  <si>
    <t>SHARE</t>
  </si>
  <si>
    <t>(Rs. in million)</t>
  </si>
  <si>
    <t>(In million)</t>
  </si>
  <si>
    <t>%</t>
  </si>
  <si>
    <t>HOLDERS</t>
  </si>
  <si>
    <t>CLOSE-END MUTUAL FUND</t>
  </si>
  <si>
    <t>HGFA</t>
  </si>
  <si>
    <t xml:space="preserve">HBL Growth Fund </t>
  </si>
  <si>
    <t>HIFA</t>
  </si>
  <si>
    <t>HBL Investment Fund</t>
  </si>
  <si>
    <t>TSMF</t>
  </si>
  <si>
    <t>Tri - Star Mutual Fund Limited</t>
  </si>
  <si>
    <t>DEFAULTERS SEGMENT</t>
  </si>
  <si>
    <t>INMF</t>
  </si>
  <si>
    <t>Investec Mutual Fund Limited</t>
  </si>
  <si>
    <t>PUDF</t>
  </si>
  <si>
    <t>Prudential Stocks Fund Limited</t>
  </si>
  <si>
    <t>MODARABAS</t>
  </si>
  <si>
    <t>ARM</t>
  </si>
  <si>
    <t>Allied Rental Modaraba</t>
  </si>
  <si>
    <t>BFMOD</t>
  </si>
  <si>
    <t>B. F.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</si>
  <si>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</si>
  <si>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</si>
  <si>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</si>
  <si>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</si>
  <si>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</si>
  <si>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</si>
  <si>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</si>
  <si>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</si>
  <si>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</si>
  <si>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</si>
  <si>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</si>
  <si>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</si>
  <si>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</si>
  <si>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</si>
  <si>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</si>
  <si>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</si>
  <si>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FPJM</t>
  </si>
  <si>
    <t>First Punjab Modaraba</t>
  </si>
  <si>
    <t>FPRM</t>
  </si>
  <si>
    <t>First Paramount Modaraba</t>
  </si>
  <si>
    <t>FTMM</t>
  </si>
  <si>
    <t>First Treet Manufacturing Modaraba</t>
  </si>
  <si>
    <t>FTSM</t>
  </si>
  <si>
    <t>First Tri - Star Modaraba</t>
  </si>
  <si>
    <t>FUDLM</t>
  </si>
  <si>
    <t>First UDL Modaraba</t>
  </si>
  <si>
    <t>MODAM</t>
  </si>
  <si>
    <t>Modaraba Al - Mali</t>
  </si>
  <si>
    <t>PMI</t>
  </si>
  <si>
    <t>First Prudential Modaraba</t>
  </si>
  <si>
    <t>PIM</t>
  </si>
  <si>
    <t>Popular Islamic Modaraba</t>
  </si>
  <si>
    <t>ORM</t>
  </si>
  <si>
    <t>Orient Rental Modaraba</t>
  </si>
  <si>
    <t>OLPM</t>
  </si>
  <si>
    <t>OLP Modaraba (Orix Modaraba)</t>
  </si>
  <si>
    <t>SINDM</t>
  </si>
  <si>
    <t>Sindh Modaraba</t>
  </si>
  <si>
    <t>TRSM</t>
  </si>
  <si>
    <t>Trust Modaraba</t>
  </si>
  <si>
    <t>UCAPM</t>
  </si>
  <si>
    <t>Unicap Modaraba</t>
  </si>
  <si>
    <t>FIM</t>
  </si>
  <si>
    <t>First Investec Modaraba</t>
  </si>
  <si>
    <t>FNBM</t>
  </si>
  <si>
    <t>First National Bank Modaraba</t>
  </si>
  <si>
    <t>LEASING COMPANIES</t>
  </si>
  <si>
    <t>GRYL</t>
  </si>
  <si>
    <t>Grays Leasing Limited</t>
  </si>
  <si>
    <t>PGLC</t>
  </si>
  <si>
    <t>Pak-Gulf Leasing Company Limited</t>
  </si>
  <si>
    <t>SLL</t>
  </si>
  <si>
    <t>SME Leasing Limited</t>
  </si>
  <si>
    <t>ENGL</t>
  </si>
  <si>
    <t>English Leasing Limited</t>
  </si>
  <si>
    <t>PICL</t>
  </si>
  <si>
    <t>Pakistan Industrial &amp; Commercial Leasing Limited</t>
  </si>
  <si>
    <t>SLCL</t>
  </si>
  <si>
    <t>Security Leasing Corporation Limited</t>
  </si>
  <si>
    <t>SPLC</t>
  </si>
  <si>
    <t>Saudi Pak Leasing Company Limited</t>
  </si>
  <si>
    <t>INVESTMENT BANKS / INVESTMENT COMPANIES / SECURITIES COMPANIES</t>
  </si>
  <si>
    <t>786 Investments Limited</t>
  </si>
  <si>
    <t>AHL</t>
  </si>
  <si>
    <t>Arif Habib Limited</t>
  </si>
  <si>
    <t>AKDSL</t>
  </si>
  <si>
    <r>
      <t xml:space="preserve">AKD Securities Limited  </t>
    </r>
    <r>
      <rPr>
        <i/>
        <sz val="12"/>
        <rFont val="Calibri"/>
        <family val="2"/>
        <scheme val="minor"/>
      </rPr>
      <t>(BIPL Securities Limited)</t>
    </r>
  </si>
  <si>
    <t>AMBL</t>
  </si>
  <si>
    <t>Apna Microfinance Bank Limited</t>
  </si>
  <si>
    <t>CYAN</t>
  </si>
  <si>
    <t>Cyan Limited</t>
  </si>
  <si>
    <t>CALCORP Limited (Capital Asset Leasing)</t>
  </si>
  <si>
    <t>DEL</t>
  </si>
  <si>
    <t>Dawood Equities Limited</t>
  </si>
  <si>
    <t>DAWH</t>
  </si>
  <si>
    <t>Dawood Hercules Corporation Limited</t>
  </si>
  <si>
    <t>DLL</t>
  </si>
  <si>
    <t>Dawood Lawrencepur Limited</t>
  </si>
  <si>
    <t>EFGH</t>
  </si>
  <si>
    <t>EFG Hermes Pakistan Limited</t>
  </si>
  <si>
    <t>ESBL</t>
  </si>
  <si>
    <t>Escorts Investmen Bank Limited</t>
  </si>
  <si>
    <t>FCIBL</t>
  </si>
  <si>
    <t>First Credit &amp; Investment Bank Limited</t>
  </si>
  <si>
    <t>FCSC</t>
  </si>
  <si>
    <t>First Capital Securities Corporation Limited</t>
  </si>
  <si>
    <t>FDIBL</t>
  </si>
  <si>
    <t>First Dawood Investment Bank Limited</t>
  </si>
  <si>
    <t>FNEL</t>
  </si>
  <si>
    <t>First National Equities Limited</t>
  </si>
  <si>
    <t>IML</t>
  </si>
  <si>
    <r>
      <t xml:space="preserve">Imperial Limited </t>
    </r>
    <r>
      <rPr>
        <i/>
        <sz val="12"/>
        <rFont val="Calibri"/>
        <family val="2"/>
        <scheme val="minor"/>
      </rPr>
      <t>(Imperial Sugar)</t>
    </r>
  </si>
  <si>
    <t>ICIBL</t>
  </si>
  <si>
    <t>Invest Capital Investment Bank Limited</t>
  </si>
  <si>
    <t>JSCL</t>
  </si>
  <si>
    <t>Jahangir Siddiqui &amp; Co. Limited</t>
  </si>
  <si>
    <t>JSGCL</t>
  </si>
  <si>
    <t>JS Global Capital Limited</t>
  </si>
  <si>
    <t>JSIL</t>
  </si>
  <si>
    <t>JS Investments Limited</t>
  </si>
  <si>
    <t>LSEVL</t>
  </si>
  <si>
    <t>LSE Ventures Limited</t>
  </si>
  <si>
    <t>MCBIM</t>
  </si>
  <si>
    <t xml:space="preserve">MCB Investment Management Limited </t>
  </si>
  <si>
    <t>NEXT</t>
  </si>
  <si>
    <t>Next Capital Limited</t>
  </si>
  <si>
    <t>OLPL</t>
  </si>
  <si>
    <r>
      <t xml:space="preserve">OLP Financial Services Pakistan Limited  </t>
    </r>
    <r>
      <rPr>
        <i/>
        <sz val="12"/>
        <rFont val="Calibri"/>
        <family val="2"/>
        <scheme val="minor"/>
      </rPr>
      <t>(Orix Leasing Pakistan)</t>
    </r>
  </si>
  <si>
    <t>PSX</t>
  </si>
  <si>
    <t>Pakistan Stock Exchange Limited</t>
  </si>
  <si>
    <t>SIBL</t>
  </si>
  <si>
    <t>Security Investment Bank Limited</t>
  </si>
  <si>
    <t>TSBL</t>
  </si>
  <si>
    <t>Trust Securities &amp; Brokerage Limited</t>
  </si>
  <si>
    <t>AMSL</t>
  </si>
  <si>
    <t>Al-Mal Securities &amp; Services Limited</t>
  </si>
  <si>
    <t>FCEL</t>
  </si>
  <si>
    <t>First Capital Equities Limited</t>
  </si>
  <si>
    <t>PASL</t>
  </si>
  <si>
    <t>Pervez Ahmed Consultancy Services Limited</t>
  </si>
  <si>
    <t>PRIB</t>
  </si>
  <si>
    <t>Prudential Investment Bank Limited</t>
  </si>
  <si>
    <t>TRIBL</t>
  </si>
  <si>
    <t>Trust Investment Bank Limited</t>
  </si>
  <si>
    <t>COMMERCIAL BANKS</t>
  </si>
  <si>
    <t>ABL</t>
  </si>
  <si>
    <t>Allied Bank Limited</t>
  </si>
  <si>
    <t>AKBL</t>
  </si>
  <si>
    <t>Askari Bank Limited</t>
  </si>
  <si>
    <t>BAFL</t>
  </si>
  <si>
    <t>Bank Alfalah Limited</t>
  </si>
  <si>
    <t>BAHL</t>
  </si>
  <si>
    <t>Bank AL Habib  Limited</t>
  </si>
  <si>
    <t>BIPL</t>
  </si>
  <si>
    <t>BankIslami Pakistan Limited</t>
  </si>
  <si>
    <t>BML</t>
  </si>
  <si>
    <r>
      <t xml:space="preserve">Bank Makramah Limited  </t>
    </r>
    <r>
      <rPr>
        <i/>
        <sz val="12"/>
        <rFont val="Calibri"/>
        <family val="2"/>
        <scheme val="minor"/>
      </rPr>
      <t>(Summit Bank Limited)</t>
    </r>
  </si>
  <si>
    <t>BOK</t>
  </si>
  <si>
    <t>The Bank of Khyber</t>
  </si>
  <si>
    <t>BOP</t>
  </si>
  <si>
    <t>The Bank of Punjab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</si>
  <si>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</si>
  <si>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</si>
  <si>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</si>
  <si>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</si>
  <si>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</si>
  <si>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</si>
  <si>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</si>
  <si>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</si>
  <si>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</si>
  <si>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</si>
  <si>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</si>
  <si>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</si>
  <si>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</si>
  <si>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</si>
  <si>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SBL</t>
  </si>
  <si>
    <t>Samba Bank Limited</t>
  </si>
  <si>
    <t>SCBPL</t>
  </si>
  <si>
    <t>Standard Chartered Bank (Pakistan) Ltd.</t>
  </si>
  <si>
    <t>SILK</t>
  </si>
  <si>
    <t>Silkbank Limited</t>
  </si>
  <si>
    <t>SNBL</t>
  </si>
  <si>
    <t>Soneri Bank Limited</t>
  </si>
  <si>
    <t>UBL</t>
  </si>
  <si>
    <t>United Bank Limited</t>
  </si>
  <si>
    <t>INSURANCE</t>
  </si>
  <si>
    <t>AGIC</t>
  </si>
  <si>
    <t>Askari General Insurance Company Limited</t>
  </si>
  <si>
    <t>AICL</t>
  </si>
  <si>
    <t>Adamjee Insurance Company Limited</t>
  </si>
  <si>
    <t>ALAC</t>
  </si>
  <si>
    <t>Askari Life Assurance Company Limited</t>
  </si>
  <si>
    <t>ALIFE</t>
  </si>
  <si>
    <t>Adamjee Life Assurance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</si>
  <si>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</si>
  <si>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</si>
  <si>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</si>
  <si>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</si>
  <si>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</si>
  <si>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</si>
  <si>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</si>
  <si>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Crescent Star Insurance Company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</si>
  <si>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</si>
  <si>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</si>
  <si>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</si>
  <si>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</si>
  <si>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</si>
  <si>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</si>
  <si>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HICL</t>
  </si>
  <si>
    <t>Habib Insurance Company Limited</t>
  </si>
  <si>
    <t>IGIHL</t>
  </si>
  <si>
    <t>IGI Holdings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</si>
  <si>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</si>
  <si>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</si>
  <si>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</si>
  <si>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</si>
  <si>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</si>
  <si>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</si>
  <si>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PAKRI</t>
  </si>
  <si>
    <t>Pakistan Reinsurance Company Limited</t>
  </si>
  <si>
    <t>PINL</t>
  </si>
  <si>
    <t>Premier Insurance Limited</t>
  </si>
  <si>
    <t>RICL</t>
  </si>
  <si>
    <t>Reliance Insurance Company Limited</t>
  </si>
  <si>
    <t>SHNI</t>
  </si>
  <si>
    <t>Shaheen Insurance Company Limited</t>
  </si>
  <si>
    <t>TPLI</t>
  </si>
  <si>
    <t>TPL Insurance Limited</t>
  </si>
  <si>
    <t>UNIC</t>
  </si>
  <si>
    <t>The United Insurance Company of Pakistan Limited</t>
  </si>
  <si>
    <t>UVIC</t>
  </si>
  <si>
    <t>The Universal Insurance Company Limited</t>
  </si>
  <si>
    <t>BIIC</t>
  </si>
  <si>
    <t>Business &amp; Industrial Insurance Company Limited</t>
  </si>
  <si>
    <t>PIL</t>
  </si>
  <si>
    <t>PICIC Insurance Limited</t>
  </si>
  <si>
    <t>PKGI</t>
  </si>
  <si>
    <t>The Pakistan General Insurance Company Limited</t>
  </si>
  <si>
    <t>PRIC</t>
  </si>
  <si>
    <t>Progressive Insurance Company Limited</t>
  </si>
  <si>
    <t>SICL</t>
  </si>
  <si>
    <t>Standard Insurance Company Limited</t>
  </si>
  <si>
    <t>SSIC</t>
  </si>
  <si>
    <t>Silver Star Insurance Company Limited</t>
  </si>
  <si>
    <t>REAL ESTATE INVESTMENT TRUST</t>
  </si>
  <si>
    <t>DCR</t>
  </si>
  <si>
    <t>Dolmen City REIT</t>
  </si>
  <si>
    <t>GRR</t>
  </si>
  <si>
    <t>Globe Residency REIT</t>
  </si>
  <si>
    <t>TEXTILE SPINNING</t>
  </si>
  <si>
    <t>ARCTM</t>
  </si>
  <si>
    <r>
      <t xml:space="preserve">Arctic Textile Mills Limited  </t>
    </r>
    <r>
      <rPr>
        <i/>
        <sz val="12"/>
        <rFont val="Calibri"/>
        <family val="2"/>
        <scheme val="minor"/>
      </rPr>
      <t>(Khurshid Spinning Mills Limited)</t>
    </r>
  </si>
  <si>
    <t>ASTM</t>
  </si>
  <si>
    <t>Asim Textile Mills Limited</t>
  </si>
  <si>
    <t>AWTX</t>
  </si>
  <si>
    <t>Allawasaya Textile &amp; Finishing Mills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</si>
  <si>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</si>
  <si>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</si>
  <si>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</si>
  <si>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</si>
  <si>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</si>
  <si>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</si>
  <si>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DFSM</t>
  </si>
  <si>
    <t>Dewan Farooque Spinning Mills Limited</t>
  </si>
  <si>
    <t>DINT</t>
  </si>
  <si>
    <t>Din Textile Mills Limited</t>
  </si>
  <si>
    <t>DSIL</t>
  </si>
  <si>
    <t>D. S. Industries Limited</t>
  </si>
  <si>
    <t>ELCM</t>
  </si>
  <si>
    <t>Elahi Cotton Mills Limited</t>
  </si>
  <si>
    <t>ELSM</t>
  </si>
  <si>
    <t>Ellcot Spinning Mills Limited</t>
  </si>
  <si>
    <t>GADT</t>
  </si>
  <si>
    <t>Gadoon Textile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</si>
  <si>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</si>
  <si>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</si>
  <si>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</si>
  <si>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</si>
  <si>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</si>
  <si>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</si>
  <si>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JATM</t>
  </si>
  <si>
    <t>J. A. Textile Mills Limited</t>
  </si>
  <si>
    <t>JDMT</t>
  </si>
  <si>
    <t>Janana De Malucho Textile Mills Limited</t>
  </si>
  <si>
    <t>JKSM</t>
  </si>
  <si>
    <t>J. K. Spinning Mills Limited</t>
  </si>
  <si>
    <t>KOHTM</t>
  </si>
  <si>
    <t>Kohat Textile Mills Limited</t>
  </si>
  <si>
    <t>KOSM</t>
  </si>
  <si>
    <t>Kohinoor Spinning Mills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</si>
  <si>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</si>
  <si>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</si>
  <si>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</si>
  <si>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</si>
  <si>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</si>
  <si>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</si>
  <si>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OML</t>
  </si>
  <si>
    <t>Olympia Mills Limited</t>
  </si>
  <si>
    <t>PRET</t>
  </si>
  <si>
    <t>Premium Textile Mills Limited</t>
  </si>
  <si>
    <t>RCML</t>
  </si>
  <si>
    <t>Reliance Cotton Spinning Mills Limited</t>
  </si>
  <si>
    <t>SAIF</t>
  </si>
  <si>
    <t>Saif Textile Mills Limited</t>
  </si>
  <si>
    <t>SERT</t>
  </si>
  <si>
    <t>Service Industries Textiles Limited</t>
  </si>
  <si>
    <t>SHCM</t>
  </si>
  <si>
    <t>Shadman Cotton Mills Limited</t>
  </si>
  <si>
    <t>SHDT</t>
  </si>
  <si>
    <t>Shadab Textile Mills Limited</t>
  </si>
  <si>
    <t>SNAI</t>
  </si>
  <si>
    <t>Sana Industries Limited</t>
  </si>
  <si>
    <t>SSML</t>
  </si>
  <si>
    <t>Saritow Spinning Mills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</si>
  <si>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</si>
  <si>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</si>
  <si>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</si>
  <si>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</si>
  <si>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</si>
  <si>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</si>
  <si>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AAL</t>
  </si>
  <si>
    <t>Agro Allianz Limited (Karim Cotton)</t>
  </si>
  <si>
    <t>AATM</t>
  </si>
  <si>
    <t>Ali Asghar Textile Mills Limited</t>
  </si>
  <si>
    <t>AMTEX</t>
  </si>
  <si>
    <t>Amtex Limited</t>
  </si>
  <si>
    <t>ANNT</t>
  </si>
  <si>
    <t>Annoor Textile Mills Limited</t>
  </si>
  <si>
    <t>APOT</t>
  </si>
  <si>
    <t>Apollo Textile Mills Limited</t>
  </si>
  <si>
    <t>AZMT</t>
  </si>
  <si>
    <t>Azmat Textile Mills Limited</t>
  </si>
  <si>
    <t>BILF</t>
  </si>
  <si>
    <t>Bilal Fibres Limited</t>
  </si>
  <si>
    <t>CWSM</t>
  </si>
  <si>
    <t>Chakwal Spinning Mills Limited</t>
  </si>
  <si>
    <t>DKTM</t>
  </si>
  <si>
    <t>Dewan Khalid Textile Mills Limited</t>
  </si>
  <si>
    <t>DMTM</t>
  </si>
  <si>
    <t>Dewan Mushtaq Textile Mills Limited</t>
  </si>
  <si>
    <t>DMTX</t>
  </si>
  <si>
    <t>D. M. Textile Mills Limited</t>
  </si>
  <si>
    <t>DSML</t>
  </si>
  <si>
    <t>Dar Es Salaam Textile Mills Limited</t>
  </si>
  <si>
    <t>DWTM</t>
  </si>
  <si>
    <t>Dewan Textile Mills Limited</t>
  </si>
  <si>
    <t>FAEL</t>
  </si>
  <si>
    <t>Fatima Enterprises Limited</t>
  </si>
  <si>
    <t>GLOT</t>
  </si>
  <si>
    <t>Globe Textile Mills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</si>
  <si>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</si>
  <si>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</si>
  <si>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</si>
  <si>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</si>
  <si>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</si>
  <si>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</si>
  <si>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</si>
  <si>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</si>
  <si>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HIRAT</t>
  </si>
  <si>
    <t>Hira Textile Mills Limited</t>
  </si>
  <si>
    <t>HMIM</t>
  </si>
  <si>
    <t>Haji Mohammad Ismail Mills Limited</t>
  </si>
  <si>
    <t>KSTM</t>
  </si>
  <si>
    <t>Khalid Siraj Textile Mills Limited</t>
  </si>
  <si>
    <t>LMSM</t>
  </si>
  <si>
    <t>Landmark Spinning Industries Limited</t>
  </si>
  <si>
    <t>NCML</t>
  </si>
  <si>
    <t>Nazir Cotton Mills Limited</t>
  </si>
  <si>
    <t>RUBY</t>
  </si>
  <si>
    <t>Ruby Textile Mills Limited</t>
  </si>
  <si>
    <t>SANE</t>
  </si>
  <si>
    <t>Salman Noman Enterprises Limited</t>
  </si>
  <si>
    <t>SLYT</t>
  </si>
  <si>
    <t>Sally Textile Mills Limited</t>
  </si>
  <si>
    <t>TEXTILE WEAVING</t>
  </si>
  <si>
    <t>ASHT</t>
  </si>
  <si>
    <t>Ashfaq Textile Mills Limited</t>
  </si>
  <si>
    <t>PRWM</t>
  </si>
  <si>
    <t>Prosperity Weaving Mills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</si>
  <si>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</si>
  <si>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</si>
  <si>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</si>
  <si>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</si>
  <si>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</si>
  <si>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</si>
  <si>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HKKT</t>
  </si>
  <si>
    <t>Hakkim Textile Mills Limited</t>
  </si>
  <si>
    <t>ICCI</t>
  </si>
  <si>
    <t>ICC Industries Limited</t>
  </si>
  <si>
    <t>MOHE</t>
  </si>
  <si>
    <t>Mohib Exports Limited</t>
  </si>
  <si>
    <t>SDOT</t>
  </si>
  <si>
    <t>Sadoon Textile Mills Limited</t>
  </si>
  <si>
    <t>TEXTILE COMPOSITE</t>
  </si>
  <si>
    <t>ADMM</t>
  </si>
  <si>
    <t>Artistic Denim Mills Limited</t>
  </si>
  <si>
    <t>AEL</t>
  </si>
  <si>
    <r>
      <t xml:space="preserve">AEL Textiles Limited  </t>
    </r>
    <r>
      <rPr>
        <i/>
        <sz val="12"/>
        <rFont val="Calibri"/>
        <family val="2"/>
        <scheme val="minor"/>
      </rPr>
      <t>(Arshad Energy Limited)</t>
    </r>
  </si>
  <si>
    <t>AHTM</t>
  </si>
  <si>
    <t>Ahmad Hassan Textile Mills Limited</t>
  </si>
  <si>
    <t>ANL</t>
  </si>
  <si>
    <t>Azgard Nine Limited</t>
  </si>
  <si>
    <t>ANTM</t>
  </si>
  <si>
    <r>
      <t xml:space="preserve">AN Textile Mills Limited   </t>
    </r>
    <r>
      <rPr>
        <i/>
        <sz val="12"/>
        <rFont val="Calibri"/>
        <family val="2"/>
        <scheme val="minor"/>
      </rPr>
      <t>(Ishaq Textile Mills Limited)</t>
    </r>
  </si>
  <si>
    <t>ARUJ</t>
  </si>
  <si>
    <t>Aruj Industries Limited</t>
  </si>
  <si>
    <t>BHAT</t>
  </si>
  <si>
    <t>Bhanero Textile Mills Limited</t>
  </si>
  <si>
    <t>BTL</t>
  </si>
  <si>
    <t>Blessed Textiles Limited</t>
  </si>
  <si>
    <t>CRTM</t>
  </si>
  <si>
    <t>The Crescent Textile Mills Limited</t>
  </si>
  <si>
    <t>FASM</t>
  </si>
  <si>
    <t>Faisal Spinning Mills Limited</t>
  </si>
  <si>
    <t>FML</t>
  </si>
  <si>
    <t xml:space="preserve">Feroze1888 Mills Limited </t>
  </si>
  <si>
    <t>FZCM</t>
  </si>
  <si>
    <t>Fazal Cloth Mills Limited</t>
  </si>
  <si>
    <t>GATM</t>
  </si>
  <si>
    <t>Gul Ahmed Textile Mills Limited</t>
  </si>
  <si>
    <t>GFIL</t>
  </si>
  <si>
    <t>Ghazi Fabrics International Limited</t>
  </si>
  <si>
    <t>HAEL</t>
  </si>
  <si>
    <t>Hala Enterprises Limited</t>
  </si>
  <si>
    <t>HAFL</t>
  </si>
  <si>
    <t>Hafiz Limited</t>
  </si>
  <si>
    <t>HUSI</t>
  </si>
  <si>
    <t>Husein Industries Limited</t>
  </si>
  <si>
    <t>ILP</t>
  </si>
  <si>
    <t>Interloop Limited</t>
  </si>
  <si>
    <t>INKL</t>
  </si>
  <si>
    <t>International Knitwear Limited</t>
  </si>
  <si>
    <t>KHYT</t>
  </si>
  <si>
    <t>Khyber Textile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</si>
  <si>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</si>
  <si>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</si>
  <si>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</si>
  <si>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</si>
  <si>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</si>
  <si>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</si>
  <si>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</si>
  <si>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</si>
  <si>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MSOT</t>
  </si>
  <si>
    <t>Masood Textile Mills Limited</t>
  </si>
  <si>
    <t>MSOTPS</t>
  </si>
  <si>
    <t>Masood Textile Mills Limited (Preference Shares)</t>
  </si>
  <si>
    <t>NCL</t>
  </si>
  <si>
    <t>Nishat (Chunian) Limited</t>
  </si>
  <si>
    <t>NML</t>
  </si>
  <si>
    <t>Nishat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</si>
  <si>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</si>
  <si>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</si>
  <si>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</si>
  <si>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</si>
  <si>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</si>
  <si>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</si>
  <si>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SFL</t>
  </si>
  <si>
    <t>Sapphire Fibres Limited</t>
  </si>
  <si>
    <t>STML</t>
  </si>
  <si>
    <t>Shams Textile Mills Limited</t>
  </si>
  <si>
    <t>SURC</t>
  </si>
  <si>
    <t>Suraj Cotton Mills Limited</t>
  </si>
  <si>
    <t>TOWL</t>
  </si>
  <si>
    <t>Towellers Limited</t>
  </si>
  <si>
    <t>ZAHID</t>
  </si>
  <si>
    <t>Zahidjee Textile Mills Limited</t>
  </si>
  <si>
    <t>CHBL</t>
  </si>
  <si>
    <t>Chenab Limited</t>
  </si>
  <si>
    <t>FSWL</t>
  </si>
  <si>
    <t>Fateh Sports Wear Limited</t>
  </si>
  <si>
    <t>FTHM</t>
  </si>
  <si>
    <t>Fateh Textile Mills Limited</t>
  </si>
  <si>
    <t>HATM</t>
  </si>
  <si>
    <t>Hamid Textile Mills Limited</t>
  </si>
  <si>
    <t>JUBS</t>
  </si>
  <si>
    <t>Jubilee Spinning &amp; Weaving Mills Limited</t>
  </si>
  <si>
    <t>KAKL</t>
  </si>
  <si>
    <t>Kaiser Arts &amp; Krafts Limited</t>
  </si>
  <si>
    <t>MFTM</t>
  </si>
  <si>
    <t>Mohammed Farooq Textile Mills Limited</t>
  </si>
  <si>
    <t>MUBT</t>
  </si>
  <si>
    <t>Mubarak Textile Mills Limited</t>
  </si>
  <si>
    <t>NINA</t>
  </si>
  <si>
    <t>Nina Industries Limited</t>
  </si>
  <si>
    <t>PASM</t>
  </si>
  <si>
    <t>Paramount Spinning Mills Limited</t>
  </si>
  <si>
    <t>QUET</t>
  </si>
  <si>
    <t>Quetta Textile Mills Limited</t>
  </si>
  <si>
    <t>SCHT</t>
  </si>
  <si>
    <t>Schon Textiles Limited</t>
  </si>
  <si>
    <t>SFAT</t>
  </si>
  <si>
    <t>Safa Textiles Limited</t>
  </si>
  <si>
    <t>TAJT</t>
  </si>
  <si>
    <t>Taj Textile Mills Limited</t>
  </si>
  <si>
    <t>USMT</t>
  </si>
  <si>
    <t>Usman Textile Mills Limited</t>
  </si>
  <si>
    <t>ZHCM</t>
  </si>
  <si>
    <t>Zahur Cotton Mills Limited</t>
  </si>
  <si>
    <t>WOOLLEN</t>
  </si>
  <si>
    <t>BNWM</t>
  </si>
  <si>
    <t>Bannu Woollen Mills Limited</t>
  </si>
  <si>
    <t>SYNTHETIC &amp; RAYON</t>
  </si>
  <si>
    <t>GATI</t>
  </si>
  <si>
    <t>Gatron (Industries) Limited</t>
  </si>
  <si>
    <t>IBFL</t>
  </si>
  <si>
    <t>Ibrahim Fibres Limited</t>
  </si>
  <si>
    <t>IMAGE</t>
  </si>
  <si>
    <r>
      <t xml:space="preserve">Image Pakistan Limited  </t>
    </r>
    <r>
      <rPr>
        <i/>
        <sz val="12"/>
        <rFont val="Calibri"/>
        <family val="2"/>
        <scheme val="minor"/>
      </rPr>
      <t>(Tri-Star Polyester Limited)</t>
    </r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</si>
  <si>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</si>
  <si>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</si>
  <si>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</si>
  <si>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</si>
  <si>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</si>
  <si>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</si>
  <si>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AASM</t>
  </si>
  <si>
    <t>Al- Abid Silk Mills Limited</t>
  </si>
  <si>
    <t>DSFL</t>
  </si>
  <si>
    <t>Dewan Salman Fibre Limited</t>
  </si>
  <si>
    <t>NAFL</t>
  </si>
  <si>
    <t>National Fibres Limited</t>
  </si>
  <si>
    <t>SGABL</t>
  </si>
  <si>
    <r>
      <t xml:space="preserve">SG Allied Business Limited  </t>
    </r>
    <r>
      <rPr>
        <i/>
        <sz val="12"/>
        <rFont val="Calibri"/>
        <family val="2"/>
        <scheme val="minor"/>
      </rPr>
      <t>(S. G. Fibres)</t>
    </r>
  </si>
  <si>
    <t>JUTE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</si>
  <si>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</si>
  <si>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</si>
  <si>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</si>
  <si>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</si>
  <si>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</si>
  <si>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</si>
  <si>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</si>
  <si>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ADAMS</t>
  </si>
  <si>
    <t>Adam Sugar Mills Limited</t>
  </si>
  <si>
    <t>AGSML</t>
  </si>
  <si>
    <t>Abdullah Shah Ghazi Sugar Mills Limited</t>
  </si>
  <si>
    <t>ALNRS</t>
  </si>
  <si>
    <t>Al-Noor Sugar Mills Limited</t>
  </si>
  <si>
    <t>BAFS</t>
  </si>
  <si>
    <t>Baba Farid Sugar Mills Limited</t>
  </si>
  <si>
    <t>CHAS</t>
  </si>
  <si>
    <t>Chashma Sugar Mills Limited</t>
  </si>
  <si>
    <t>FRSM</t>
  </si>
  <si>
    <t>Faran Sugar Mills Limited</t>
  </si>
  <si>
    <t>HABSM</t>
  </si>
  <si>
    <t>Habib Sugar Mills Limited</t>
  </si>
  <si>
    <t>HRPL</t>
  </si>
  <si>
    <t>Habib Rice Products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</si>
  <si>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</si>
  <si>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</si>
  <si>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</si>
  <si>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</si>
  <si>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</si>
  <si>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</si>
  <si>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</si>
  <si>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</si>
  <si>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</si>
  <si>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</si>
  <si>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NONS</t>
  </si>
  <si>
    <t>Noon Sugar Mills Limited</t>
  </si>
  <si>
    <t>PMRS</t>
  </si>
  <si>
    <t>The Premier Sugar Mills &amp; Distillery Company Limited</t>
  </si>
  <si>
    <t>SANSM</t>
  </si>
  <si>
    <t>Sanghar Sugar Mills Limited</t>
  </si>
  <si>
    <t>SASML</t>
  </si>
  <si>
    <t>Sindh Abadgar's Sugar Mills Limited</t>
  </si>
  <si>
    <t>SHJS</t>
  </si>
  <si>
    <t>Shahtaj Sugar Mills Limited</t>
  </si>
  <si>
    <t>SHSML</t>
  </si>
  <si>
    <t>Shahmurad Sugar Mills Limited</t>
  </si>
  <si>
    <t>TCORP</t>
  </si>
  <si>
    <r>
      <t xml:space="preserve">Tariq Corporation Limited  </t>
    </r>
    <r>
      <rPr>
        <i/>
        <sz val="12"/>
        <rFont val="Calibri"/>
        <family val="2"/>
        <scheme val="minor"/>
      </rPr>
      <t>(Husein Sugar Mills Limited)</t>
    </r>
  </si>
  <si>
    <t>TCORPCPS</t>
  </si>
  <si>
    <t>Tariq Corporation Limited  (Preference Shares)</t>
  </si>
  <si>
    <t>TICL</t>
  </si>
  <si>
    <t>The Thal Industries Corporation Limited</t>
  </si>
  <si>
    <t>TSML</t>
  </si>
  <si>
    <t>Tandlianwala Sugar Mills Limited</t>
  </si>
  <si>
    <t>ANSM</t>
  </si>
  <si>
    <t>Ansari Sugar Mills Limited</t>
  </si>
  <si>
    <t>DWSM</t>
  </si>
  <si>
    <t>Dewan Sugar Mills Limited</t>
  </si>
  <si>
    <t>HWQS</t>
  </si>
  <si>
    <t>Haseeb Waqas Sugar Mills Limited</t>
  </si>
  <si>
    <t>SKRS</t>
  </si>
  <si>
    <t>Sakrand Sugar Mills Limited</t>
  </si>
  <si>
    <t>SML</t>
  </si>
  <si>
    <t>Shakarganj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</si>
  <si>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</si>
  <si>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</si>
  <si>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</si>
  <si>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</si>
  <si>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</si>
  <si>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</si>
  <si>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</si>
  <si>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</si>
  <si>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</si>
  <si>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</si>
  <si>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</si>
  <si>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DNCC</t>
  </si>
  <si>
    <t>Dandot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</si>
  <si>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</si>
  <si>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</si>
  <si>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</si>
  <si>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</si>
  <si>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</si>
  <si>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</si>
  <si>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</si>
  <si>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</si>
  <si>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KOHC</t>
  </si>
  <si>
    <t>Kohat Cement Company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</si>
  <si>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</si>
  <si>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</si>
  <si>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</si>
  <si>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</si>
  <si>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</si>
  <si>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</si>
  <si>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</si>
  <si>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</t>
  </si>
  <si>
    <t>POWERPS</t>
  </si>
  <si>
    <t>Power Cement Limited  (Preference Shares)</t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</si>
  <si>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</si>
  <si>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</si>
  <si>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</si>
  <si>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</si>
  <si>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</si>
  <si>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</si>
  <si>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ZELP</t>
  </si>
  <si>
    <t>Zeal-Pak Cement Factory Limited</t>
  </si>
  <si>
    <t>PROPERTY</t>
  </si>
  <si>
    <t>BRRG</t>
  </si>
  <si>
    <t>B. R. R. Guardian Limited</t>
  </si>
  <si>
    <t>JVDC</t>
  </si>
  <si>
    <t>Javedan Corporation Limited</t>
  </si>
  <si>
    <t>PACE</t>
  </si>
  <si>
    <t>Pace (Pakistan) Limited</t>
  </si>
  <si>
    <t>TPLP</t>
  </si>
  <si>
    <t>TPL Properties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</si>
  <si>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</si>
  <si>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</si>
  <si>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</si>
  <si>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</si>
  <si>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</si>
  <si>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</si>
  <si>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</si>
  <si>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REFINERY</t>
  </si>
  <si>
    <t>ATRL</t>
  </si>
  <si>
    <t>Attock Refinery Limited</t>
  </si>
  <si>
    <t>CNERGY</t>
  </si>
  <si>
    <r>
      <t xml:space="preserve">Cnergyico PK Limited  </t>
    </r>
    <r>
      <rPr>
        <i/>
        <sz val="12"/>
        <rFont val="Calibri"/>
        <family val="2"/>
        <scheme val="minor"/>
      </rPr>
      <t>(Byco Petroleum Limited)</t>
    </r>
  </si>
  <si>
    <t>NRL</t>
  </si>
  <si>
    <t>National Refinery Limited</t>
  </si>
  <si>
    <t>PRL</t>
  </si>
  <si>
    <t>Pakistan Refinery Limited</t>
  </si>
  <si>
    <t>POWER GENERATION &amp; DISTRIBUTION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</si>
  <si>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</si>
  <si>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</si>
  <si>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</si>
  <si>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</si>
  <si>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</si>
  <si>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</si>
  <si>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</si>
  <si>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</si>
  <si>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</si>
  <si>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</si>
  <si>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</si>
  <si>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</si>
  <si>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KOHP</t>
  </si>
  <si>
    <t>Kohinoor Power Company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</si>
  <si>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</si>
  <si>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</si>
  <si>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</si>
  <si>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</si>
  <si>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</si>
  <si>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</si>
  <si>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</si>
  <si>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</si>
  <si>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</si>
  <si>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</si>
  <si>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SPWL</t>
  </si>
  <si>
    <t>Saif Power Limited</t>
  </si>
  <si>
    <t>TSPL</t>
  </si>
  <si>
    <t>Tri - Star Power Limited</t>
  </si>
  <si>
    <t>SGPL</t>
  </si>
  <si>
    <t>S. G. Power Limited</t>
  </si>
  <si>
    <t>OIL &amp; GAS MARKETING COMPANIES</t>
  </si>
  <si>
    <t>APL</t>
  </si>
  <si>
    <t>Attock Petroleum Limited</t>
  </si>
  <si>
    <t>BPL</t>
  </si>
  <si>
    <t>Burshane LPG (Pakistan) Limited</t>
  </si>
  <si>
    <t>HTL</t>
  </si>
  <si>
    <t>Hi-Tech Lubricants Limited</t>
  </si>
  <si>
    <t>OBOY</t>
  </si>
  <si>
    <r>
      <t xml:space="preserve">Oilboy Energy Limited  </t>
    </r>
    <r>
      <rPr>
        <i/>
        <sz val="12"/>
        <rFont val="Calibri"/>
        <family val="2"/>
        <scheme val="minor"/>
      </rPr>
      <t>(Drekkar Kingsway Limited)</t>
    </r>
  </si>
  <si>
    <t>PSO</t>
  </si>
  <si>
    <t>Pakistan State Oil Company Limited</t>
  </si>
  <si>
    <t>SHEL</t>
  </si>
  <si>
    <t>Shell Pakistan Limited</t>
  </si>
  <si>
    <t>SNGP</t>
  </si>
  <si>
    <t>Sui Northern Gas Pipelines Limited</t>
  </si>
  <si>
    <t>SSGC</t>
  </si>
  <si>
    <t>Sui Southern Gas Company Limited</t>
  </si>
  <si>
    <t>HASCOL</t>
  </si>
  <si>
    <t>Hascol Petroleum Limited</t>
  </si>
  <si>
    <t>OIL &amp; GAS EXPLORATION COMPANIES</t>
  </si>
  <si>
    <t>MARI</t>
  </si>
  <si>
    <t>Mari Petroleum Company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</si>
  <si>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</si>
  <si>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</si>
  <si>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</si>
  <si>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</si>
  <si>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</si>
  <si>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</si>
  <si>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</si>
  <si>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AGHA</t>
  </si>
  <si>
    <t>Agha Steel Industries Limited</t>
  </si>
  <si>
    <t>ASL</t>
  </si>
  <si>
    <t>Aisha Steel Mills Limited</t>
  </si>
  <si>
    <t>ASTL</t>
  </si>
  <si>
    <t>Amreli Steels Limited</t>
  </si>
  <si>
    <t>BCL</t>
  </si>
  <si>
    <t>Bolan Castings Limited</t>
  </si>
  <si>
    <t>BECO</t>
  </si>
  <si>
    <r>
      <t xml:space="preserve">Beco Steel Limited  </t>
    </r>
    <r>
      <rPr>
        <i/>
        <sz val="12"/>
        <rFont val="Calibri"/>
        <family val="2"/>
        <scheme val="minor"/>
      </rPr>
      <t>(Ravi Textile Mills Limited)</t>
    </r>
  </si>
  <si>
    <t>CSAP</t>
  </si>
  <si>
    <t>Crescent Steel &amp; Allied Products Limited</t>
  </si>
  <si>
    <t>DADX</t>
  </si>
  <si>
    <t>Dadex Eternit Limited</t>
  </si>
  <si>
    <t>INIL</t>
  </si>
  <si>
    <t>International Industries Limited</t>
  </si>
  <si>
    <t>ISL</t>
  </si>
  <si>
    <t>International Steels Limited</t>
  </si>
  <si>
    <t>ITTEFAQ</t>
  </si>
  <si>
    <t>Ittefaq Iron Industries Limitd</t>
  </si>
  <si>
    <t>KSBP</t>
  </si>
  <si>
    <t>KSB Pumps Company Limited</t>
  </si>
  <si>
    <t>MSCL</t>
  </si>
  <si>
    <t>Metropolitan Steel Corporation Limited</t>
  </si>
  <si>
    <t>MUGHAL</t>
  </si>
  <si>
    <t>Mughal Iron &amp; Steel Industries Limited</t>
  </si>
  <si>
    <t>DSL</t>
  </si>
  <si>
    <t>Dost Steels Limited</t>
  </si>
  <si>
    <t>HSPI</t>
  </si>
  <si>
    <t>Huffaz Seamless Pipe Industries Limited</t>
  </si>
  <si>
    <t>PECO</t>
  </si>
  <si>
    <t>Pakistan Engineering Company Limited</t>
  </si>
  <si>
    <t>AUTOMOBILE ASSEMBLER</t>
  </si>
  <si>
    <t>AGTL</t>
  </si>
  <si>
    <t>Al-Ghazi Tractors Limited</t>
  </si>
  <si>
    <t>ATLH</t>
  </si>
  <si>
    <t>Atlas Honda Limited</t>
  </si>
  <si>
    <t>DFML</t>
  </si>
  <si>
    <t>Dewan Farooque Motors Limited</t>
  </si>
  <si>
    <t>GHNI</t>
  </si>
  <si>
    <t>Ghandhara Industries Limited</t>
  </si>
  <si>
    <t>GAL</t>
  </si>
  <si>
    <r>
      <t xml:space="preserve">Ghandhara Automobiles Limited  </t>
    </r>
    <r>
      <rPr>
        <i/>
        <sz val="12"/>
        <rFont val="Calibri"/>
        <family val="2"/>
        <scheme val="minor"/>
      </rPr>
      <t>(Ghandhara Nissan Limited)</t>
    </r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</si>
  <si>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</si>
  <si>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</si>
  <si>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</si>
  <si>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</si>
  <si>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</si>
  <si>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</si>
  <si>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</si>
  <si>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</si>
  <si>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PSMC</t>
  </si>
  <si>
    <t>Pak Suzuki Motor Company Limited</t>
  </si>
  <si>
    <t>SAZEW</t>
  </si>
  <si>
    <t>Sazgar Engineering Works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</si>
  <si>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</si>
  <si>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</si>
  <si>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</si>
  <si>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</si>
  <si>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</si>
  <si>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</si>
  <si>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</si>
  <si>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</si>
  <si>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</si>
  <si>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</si>
  <si>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r>
      <t xml:space="preserve">Ghandhara Tyre &amp; Rubber Company Limited </t>
    </r>
    <r>
      <rPr>
        <i/>
        <sz val="12"/>
        <rFont val="Calibri"/>
        <family val="2"/>
        <scheme val="minor"/>
      </rPr>
      <t>(General Tyre)</t>
    </r>
  </si>
  <si>
    <t>LOADS</t>
  </si>
  <si>
    <t>Loads Limited</t>
  </si>
  <si>
    <t>PTL</t>
  </si>
  <si>
    <t>Panther Tyres Limited</t>
  </si>
  <si>
    <t>TBL</t>
  </si>
  <si>
    <t>Treet Battery Limited</t>
  </si>
  <si>
    <t>THALL</t>
  </si>
  <si>
    <t>Thal Limited</t>
  </si>
  <si>
    <t>BELA</t>
  </si>
  <si>
    <t>Bela Automotives Limited</t>
  </si>
  <si>
    <t>DWAE</t>
  </si>
  <si>
    <t>Dewan Automotive Engineering Limited</t>
  </si>
  <si>
    <t>CABLE &amp; ELECTRICAL GOODS</t>
  </si>
  <si>
    <t>EMCO</t>
  </si>
  <si>
    <t>Emco Industries Limited</t>
  </si>
  <si>
    <t>JOPP</t>
  </si>
  <si>
    <t>Johnson &amp; Phillips (Pakistan)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</si>
  <si>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</si>
  <si>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</si>
  <si>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</si>
  <si>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</si>
  <si>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</si>
  <si>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</si>
  <si>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WAVES</t>
  </si>
  <si>
    <r>
      <t xml:space="preserve">Waves Corporation Limited  </t>
    </r>
    <r>
      <rPr>
        <i/>
        <sz val="12"/>
        <rFont val="Calibri"/>
        <family val="2"/>
        <scheme val="minor"/>
      </rPr>
      <t>(Waves Singer Pakistan Limited)</t>
    </r>
  </si>
  <si>
    <t>WAVESAPP</t>
  </si>
  <si>
    <r>
      <t xml:space="preserve">Waves Home Appliances Limited  </t>
    </r>
    <r>
      <rPr>
        <i/>
        <sz val="12"/>
        <rFont val="Calibri"/>
        <family val="2"/>
        <scheme val="minor"/>
      </rPr>
      <t>(Samin Textiles Limited)</t>
    </r>
  </si>
  <si>
    <t>TRANSPORT</t>
  </si>
  <si>
    <t>CLVL</t>
  </si>
  <si>
    <r>
      <t xml:space="preserve">Cordoba Logistics &amp; Ventures Limited  </t>
    </r>
    <r>
      <rPr>
        <i/>
        <sz val="12"/>
        <rFont val="Calibri"/>
        <family val="2"/>
        <scheme val="minor"/>
      </rPr>
      <t>(Mian Textile Industries)</t>
    </r>
  </si>
  <si>
    <t>PIAA</t>
  </si>
  <si>
    <t>Pakistan International Airlines Corporation Limited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</si>
  <si>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</si>
  <si>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</si>
  <si>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</si>
  <si>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</si>
  <si>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</si>
  <si>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</si>
  <si>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TECHNOLOGY &amp; COMMUNICATION</t>
  </si>
  <si>
    <t>AVN</t>
  </si>
  <si>
    <t>Avanceon Limited</t>
  </si>
  <si>
    <t>AIRLINK</t>
  </si>
  <si>
    <t>Air Link Communication Limited</t>
  </si>
  <si>
    <t>HCL</t>
  </si>
  <si>
    <t>Hallmark Company Limited</t>
  </si>
  <si>
    <t>HUMNL</t>
  </si>
  <si>
    <t>Hum Network Limited</t>
  </si>
  <si>
    <t>LSEPL</t>
  </si>
  <si>
    <t>LSE Proptech Limited</t>
  </si>
  <si>
    <t>NETSOL</t>
  </si>
  <si>
    <t>NetSol Technologies Limited</t>
  </si>
  <si>
    <t>OCTOPUS</t>
  </si>
  <si>
    <t>Octopus Digital Limited</t>
  </si>
  <si>
    <t>PAKD</t>
  </si>
  <si>
    <t>Pak Datacom Limited</t>
  </si>
  <si>
    <t>PTC</t>
  </si>
  <si>
    <t>Pakistan Telecommunication Company Ltd.</t>
  </si>
  <si>
    <t>SYM</t>
  </si>
  <si>
    <t>Symmetry Group Limited</t>
  </si>
  <si>
    <t>SYS</t>
  </si>
  <si>
    <t>Systems Limited</t>
  </si>
  <si>
    <t>TPLT</t>
  </si>
  <si>
    <t>TPL Trakker Limited</t>
  </si>
  <si>
    <t>TELE</t>
  </si>
  <si>
    <t>Telecard Limited</t>
  </si>
  <si>
    <t>TPL</t>
  </si>
  <si>
    <t>TPL Corp. Limited</t>
  </si>
  <si>
    <t>TRG</t>
  </si>
  <si>
    <t>TRG Pakistan Limited</t>
  </si>
  <si>
    <t>WTL</t>
  </si>
  <si>
    <t>WorldCall Telecom Limited</t>
  </si>
  <si>
    <t>MDTL</t>
  </si>
  <si>
    <t>Media Times Limited</t>
  </si>
  <si>
    <t>FERTILIZER</t>
  </si>
  <si>
    <t>AHCL</t>
  </si>
  <si>
    <t>Arif Habib Corporation Limited</t>
  </si>
  <si>
    <t>EFERT</t>
  </si>
  <si>
    <t>Engro Fertilizers Limited</t>
  </si>
  <si>
    <t>ENGRO</t>
  </si>
  <si>
    <t>Engro Corporation Limited</t>
  </si>
  <si>
    <t>FATIMA</t>
  </si>
  <si>
    <t>Fatima Fertilizer Company Limited</t>
  </si>
  <si>
    <t>FFBL</t>
  </si>
  <si>
    <t>Fauji Fertilizer Bin Qasim Limited</t>
  </si>
  <si>
    <t>FFC</t>
  </si>
  <si>
    <t>Fauji Fertilizer Company Limited</t>
  </si>
  <si>
    <t>PHARMACEUTICALS</t>
  </si>
  <si>
    <t>ABOT</t>
  </si>
  <si>
    <t>Abbott Laboratories (Pakistan) Limited</t>
  </si>
  <si>
    <t>AGP</t>
  </si>
  <si>
    <t>AGP Limited</t>
  </si>
  <si>
    <t>CPHL</t>
  </si>
  <si>
    <t>Citi Pharma Limited</t>
  </si>
  <si>
    <t>FEROZ</t>
  </si>
  <si>
    <t>Ferozsons Laboratories Limited</t>
  </si>
  <si>
    <t>GLAXO</t>
  </si>
  <si>
    <t>GlaxoSmithKline Pakistan Limited</t>
  </si>
  <si>
    <t>HALEON</t>
  </si>
  <si>
    <r>
      <t xml:space="preserve">Haleon Pakistan Limited </t>
    </r>
    <r>
      <rPr>
        <i/>
        <sz val="12"/>
        <rFont val="Calibri"/>
        <family val="2"/>
        <scheme val="minor"/>
      </rPr>
      <t>(GlaxoSmithKline Consumer HealthCare)</t>
    </r>
  </si>
  <si>
    <t>HINOON</t>
  </si>
  <si>
    <t>Highnoon Laboratories Limited</t>
  </si>
  <si>
    <t>HPL</t>
  </si>
  <si>
    <r>
      <t xml:space="preserve">Hoechst Pakistan Limited </t>
    </r>
    <r>
      <rPr>
        <i/>
        <sz val="12"/>
        <rFont val="Calibri"/>
        <family val="2"/>
        <scheme val="minor"/>
      </rPr>
      <t>(Sanofi-Aventis Pakistan Limited)</t>
    </r>
  </si>
  <si>
    <t>IBLHL</t>
  </si>
  <si>
    <t>IBL Healthcare Limited</t>
  </si>
  <si>
    <t>MACTER</t>
  </si>
  <si>
    <t>Macter International Limited</t>
  </si>
  <si>
    <t>OTSU</t>
  </si>
  <si>
    <t>Otsuka Pakistan Limited</t>
  </si>
  <si>
    <t>SEARL</t>
  </si>
  <si>
    <t>The Searle Company Limited</t>
  </si>
  <si>
    <t>CHEMICAL</t>
  </si>
  <si>
    <t>AGL</t>
  </si>
  <si>
    <t>Agritech Limited</t>
  </si>
  <si>
    <t>ARPL</t>
  </si>
  <si>
    <t>Archroma Pakistan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</si>
  <si>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</si>
  <si>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</si>
  <si>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</si>
  <si>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</si>
  <si>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</si>
  <si>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</si>
  <si>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COLG</t>
  </si>
  <si>
    <t>Colgate - Palmolive (Pakistan) Limited</t>
  </si>
  <si>
    <t>DAAG</t>
  </si>
  <si>
    <t>Data Agro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</si>
  <si>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</si>
  <si>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</si>
  <si>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</si>
  <si>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</si>
  <si>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</si>
  <si>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</si>
  <si>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EPCLPS</t>
  </si>
  <si>
    <r>
      <t>Engro Polymer &amp; Chemicals Limited</t>
    </r>
    <r>
      <rPr>
        <i/>
        <sz val="12"/>
        <rFont val="Calibri"/>
        <family val="2"/>
        <scheme val="minor"/>
      </rPr>
      <t xml:space="preserve"> (Preference Shares)</t>
    </r>
  </si>
  <si>
    <t>GCIL</t>
  </si>
  <si>
    <t>Ghani Chemical Industries Limited</t>
  </si>
  <si>
    <t>GGL</t>
  </si>
  <si>
    <r>
      <t xml:space="preserve">Ghani Global Holdings Limited   </t>
    </r>
    <r>
      <rPr>
        <i/>
        <sz val="12"/>
        <rFont val="Calibri"/>
        <family val="2"/>
        <scheme val="minor"/>
      </rPr>
      <t>(Ghani Gases Limited)</t>
    </r>
  </si>
  <si>
    <t>LCI</t>
  </si>
  <si>
    <r>
      <t xml:space="preserve">Lucky Core Industries Limited </t>
    </r>
    <r>
      <rPr>
        <i/>
        <sz val="12"/>
        <rFont val="Calibri"/>
        <family val="2"/>
        <scheme val="minor"/>
      </rPr>
      <t>(ICI Pakistan Limited)</t>
    </r>
  </si>
  <si>
    <t>ICL</t>
  </si>
  <si>
    <t>Ittehad Chemicals Limited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</si>
  <si>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</si>
  <si>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</si>
  <si>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</si>
  <si>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</si>
  <si>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</si>
  <si>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</si>
  <si>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NRSL</t>
  </si>
  <si>
    <t>Nimir Resins Limited</t>
  </si>
  <si>
    <t>PAKOXY</t>
  </si>
  <si>
    <t>Pakistan Oxygen Limited (Linde Pakistan Limited)</t>
  </si>
  <si>
    <t>SARC</t>
  </si>
  <si>
    <t>Sardar Chemical Industries Limited</t>
  </si>
  <si>
    <t>SITC</t>
  </si>
  <si>
    <t>Sitara Chemical Industries Limited</t>
  </si>
  <si>
    <t>WAHN</t>
  </si>
  <si>
    <t>Wah Noble Chemicals Limited</t>
  </si>
  <si>
    <t>BAPL</t>
  </si>
  <si>
    <t>Bawany Air Products Limited</t>
  </si>
  <si>
    <t>PPVC</t>
  </si>
  <si>
    <t>Pakistan PVC Limited</t>
  </si>
  <si>
    <t>SHCI</t>
  </si>
  <si>
    <t>Shaffi Chemical Industries Limited</t>
  </si>
  <si>
    <t>SPL</t>
  </si>
  <si>
    <t>Sitara Peroxide Limited</t>
  </si>
  <si>
    <t>PAPER &amp; BOARD</t>
  </si>
  <si>
    <t>CEPB</t>
  </si>
  <si>
    <t>Century Paper &amp; Board Mills Limited</t>
  </si>
  <si>
    <t>CPPL</t>
  </si>
  <si>
    <t>Cherat Packaging Limited</t>
  </si>
  <si>
    <t>MERIT</t>
  </si>
  <si>
    <t>Merit Packaging Limited</t>
  </si>
  <si>
    <t>PKGS</t>
  </si>
  <si>
    <t>Packages Limited</t>
  </si>
  <si>
    <t>PPP</t>
  </si>
  <si>
    <t>Pakistan Paper Products Limited</t>
  </si>
  <si>
    <t>RPL</t>
  </si>
  <si>
    <t>Roshan Packages Limited</t>
  </si>
  <si>
    <t>SEPL</t>
  </si>
  <si>
    <t>Security Papers Limited</t>
  </si>
  <si>
    <t>ABSON</t>
  </si>
  <si>
    <t>Abson Industries Limited</t>
  </si>
  <si>
    <t>DBSL</t>
  </si>
  <si>
    <t>Dadabhoy Sack Limited</t>
  </si>
  <si>
    <t>VANASPATI &amp; ALLIED INDUSTRIES</t>
  </si>
  <si>
    <t>POML</t>
  </si>
  <si>
    <t>Punjab Oil Mills Limited</t>
  </si>
  <si>
    <t>SSOM</t>
  </si>
  <si>
    <t>S. S. Oil Mills Limited</t>
  </si>
  <si>
    <t>SURAJ</t>
  </si>
  <si>
    <t>Suraj Ghee Industries Limited</t>
  </si>
  <si>
    <t>LEATHER &amp; TANNERIES</t>
  </si>
  <si>
    <t>BATA</t>
  </si>
  <si>
    <t>Bata Pakistan Limited</t>
  </si>
  <si>
    <t>LEUL</t>
  </si>
  <si>
    <t>Leather Up Limited</t>
  </si>
  <si>
    <t>PAKL</t>
  </si>
  <si>
    <t>Pak Leather Crafts Limited</t>
  </si>
  <si>
    <t>SGF</t>
  </si>
  <si>
    <t>Service Global Footwear Limited</t>
  </si>
  <si>
    <t>SRVI</t>
  </si>
  <si>
    <t>Service Industries Limited</t>
  </si>
  <si>
    <t>FIL</t>
  </si>
  <si>
    <t>Fateh Industries Limited</t>
  </si>
  <si>
    <t>FOOD &amp; PERSONAL CARE PRODUCTS</t>
  </si>
  <si>
    <t>ASC</t>
  </si>
  <si>
    <t>Al Shaheer Corporation Limited</t>
  </si>
  <si>
    <t>BNL</t>
  </si>
  <si>
    <t>Bunny's Limited (Moonlite Pak)</t>
  </si>
  <si>
    <t>CLOV</t>
  </si>
  <si>
    <t>Clover Pakistan Limited</t>
  </si>
  <si>
    <t>FCEPL</t>
  </si>
  <si>
    <t>Frieslandcampina Engro Pakistan Limited</t>
  </si>
  <si>
    <t>FFL</t>
  </si>
  <si>
    <t>Fauji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</si>
  <si>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</si>
  <si>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</si>
  <si>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</si>
  <si>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</si>
  <si>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</si>
  <si>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</si>
  <si>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</si>
  <si>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</si>
  <si>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MFL</t>
  </si>
  <si>
    <t>Matco Foods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</si>
  <si>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</si>
  <si>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</si>
  <si>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</si>
  <si>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</si>
  <si>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</si>
  <si>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</si>
  <si>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PREMA</t>
  </si>
  <si>
    <t>At-Tahur Limited</t>
  </si>
  <si>
    <t>QUICE</t>
  </si>
  <si>
    <t>Quice Food Industries Limited</t>
  </si>
  <si>
    <t>RMPL</t>
  </si>
  <si>
    <t>Rafhan Maize Products Co. Limited</t>
  </si>
  <si>
    <t>SCL</t>
  </si>
  <si>
    <t>Shield Corporation Limited</t>
  </si>
  <si>
    <t>SHEZ</t>
  </si>
  <si>
    <t>Shezan International Limited</t>
  </si>
  <si>
    <t>TOMCL</t>
  </si>
  <si>
    <t>The Organic Meat Company Limited</t>
  </si>
  <si>
    <t>TREET</t>
  </si>
  <si>
    <t>Treet Corporation Limited</t>
  </si>
  <si>
    <t>UPFL</t>
  </si>
  <si>
    <t>Unilever Pakistan Foods Limited</t>
  </si>
  <si>
    <t>UNITY</t>
  </si>
  <si>
    <t>Unity Foods Limited</t>
  </si>
  <si>
    <t>ZIL</t>
  </si>
  <si>
    <t>ZIL Limited</t>
  </si>
  <si>
    <t>NMFL</t>
  </si>
  <si>
    <t>Nirala MSR Foods LImited</t>
  </si>
  <si>
    <t>GLASS &amp; CERAMICS</t>
  </si>
  <si>
    <t>BGL</t>
  </si>
  <si>
    <t>Balochistan Glass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</si>
  <si>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</si>
  <si>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</si>
  <si>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</si>
  <si>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</si>
  <si>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</si>
  <si>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</si>
  <si>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</si>
  <si>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</si>
  <si>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</si>
  <si>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</si>
  <si>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</si>
  <si>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</si>
  <si>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</si>
  <si>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</si>
  <si>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</si>
  <si>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</si>
  <si>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</si>
  <si>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AKDHL</t>
  </si>
  <si>
    <r>
      <t xml:space="preserve">AKD Hospitality Limited  </t>
    </r>
    <r>
      <rPr>
        <i/>
        <sz val="12"/>
        <rFont val="Calibri"/>
        <family val="2"/>
        <scheme val="minor"/>
      </rPr>
      <t>(AKD Capital Limited)</t>
    </r>
  </si>
  <si>
    <t>AKGL</t>
  </si>
  <si>
    <t>Al - Khair Gadoon Limited</t>
  </si>
  <si>
    <t>ARPAK</t>
  </si>
  <si>
    <t>Arpak International Investments Limited</t>
  </si>
  <si>
    <t>DIIL</t>
  </si>
  <si>
    <t>Diamond Industries Limited</t>
  </si>
  <si>
    <t>ECOP</t>
  </si>
  <si>
    <t>EcoPack Limited</t>
  </si>
  <si>
    <t>GAMON</t>
  </si>
  <si>
    <t>Gammon Pakistan Limited</t>
  </si>
  <si>
    <t>GOC</t>
  </si>
  <si>
    <t>GOC (Pak) Limited</t>
  </si>
  <si>
    <t>MACFL</t>
  </si>
  <si>
    <t>MacPac Films Limited</t>
  </si>
  <si>
    <t>META</t>
  </si>
  <si>
    <r>
      <t xml:space="preserve">MetaTech Trading Limited  </t>
    </r>
    <r>
      <rPr>
        <i/>
        <sz val="12"/>
        <rFont val="Calibri"/>
        <family val="2"/>
        <scheme val="minor"/>
      </rPr>
      <t>(MetaTech Health Limited)</t>
    </r>
  </si>
  <si>
    <t>550 Sukuk</t>
  </si>
  <si>
    <t>PABC</t>
  </si>
  <si>
    <t>Pakistan Aluminium Beverage Cans Limited</t>
  </si>
  <si>
    <t>PHDL</t>
  </si>
  <si>
    <t>Pakistan Hotels Developers Limited</t>
  </si>
  <si>
    <t>PSEL</t>
  </si>
  <si>
    <t>Pakistan Services Limited</t>
  </si>
  <si>
    <t>SHFA</t>
  </si>
  <si>
    <t>Shifa International Hospitals Limited</t>
  </si>
  <si>
    <t>SPEL</t>
  </si>
  <si>
    <t>Synthetic Products Enterprises Limited</t>
  </si>
  <si>
    <t>STPL</t>
  </si>
  <si>
    <t>Siddiqsons Tin Plate Limited</t>
  </si>
  <si>
    <t>TRIPF</t>
  </si>
  <si>
    <t>Tri-Pack Films Limited</t>
  </si>
  <si>
    <t>UBDL</t>
  </si>
  <si>
    <t>United Brands Limited</t>
  </si>
  <si>
    <t>UDPL</t>
  </si>
  <si>
    <t>United Distributors Pakistan Limited</t>
  </si>
  <si>
    <t>DCTL</t>
  </si>
  <si>
    <t>Dadabhoy Construction Technology Limited</t>
  </si>
  <si>
    <t>HADC</t>
  </si>
  <si>
    <t>Hayderi Construction Company Limited</t>
  </si>
  <si>
    <t>MWMP</t>
  </si>
  <si>
    <t>Mandviwalla Mauser Plastic Industries Limited</t>
  </si>
  <si>
    <t>GROWTH MARKET ENTERPRISES (GEM)</t>
  </si>
  <si>
    <t>GEMUNSL</t>
  </si>
  <si>
    <t>Universal Network System Limited</t>
  </si>
  <si>
    <t>GEMPAPL</t>
  </si>
  <si>
    <t>Pak Agro Packaging Limited</t>
  </si>
  <si>
    <t>GEMSPNL</t>
  </si>
  <si>
    <t>Supernet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</si>
</sst>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00_);\(#,##0.000\)"/>
    <numFmt numFmtId="165" formatCode="#,##0.000_);[Red]\(#,##0.000\)"/>
    <numFmt numFmtId="166" formatCode="#,##0.0_);\(#,##0.0\)"/>
    <numFmt numFmtId="167" formatCode="#,##0.000;[Red]\-#,##0.000"/>
    <numFmt numFmtId="168" formatCode="#,##0.0000_);[Red]\(#,##0.0000\)"/>
  </numFmts>
  <fonts count="19" x14ac:knownFonts="1">
    <font>
      <sz val="10"/>
      <name val="Arial"/>
    </font>
    <font>
      <b/>
      <sz val="12"/>
      <name val="Calibri"/>
      <family val="2"/>
      <scheme val="minor"/>
    </font>
    <font>
      <b/>
      <sz val="24"/>
      <color rgb="FF3333FF"/>
      <name val="Calibri"/>
      <family val="2"/>
      <scheme val="minor"/>
    </font>
    <font>
      <sz val="12"/>
      <name val="Calibri"/>
      <family val="2"/>
      <scheme val="minor"/>
    </font>
    <font>
      <sz val="12"/>
      <color indexed="12"/>
      <name val="Calibri"/>
      <family val="2"/>
      <scheme val="minor"/>
    </font>
    <font>
      <sz val="10"/>
      <name val="Calibri"/>
      <family val="2"/>
      <scheme val="minor"/>
    </font>
    <font>
      <sz val="10"/>
      <color indexed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12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indexed="12"/>
      <name val="Calibri"/>
      <family val="2"/>
      <scheme val="minor"/>
    </font>
    <font>
      <b/>
      <sz val="14"/>
      <color indexed="18"/>
      <name val="Calibri"/>
      <family val="2"/>
      <scheme val="minor"/>
    </font>
    <font>
      <sz val="12"/>
      <color rgb="FF3333FF"/>
      <name val="Calibri"/>
      <family val="2"/>
      <scheme val="minor"/>
    </font>
    <font>
      <b/>
      <i/>
      <sz val="14"/>
      <color indexed="10"/>
      <name val="Calibri"/>
      <family val="2"/>
      <scheme val="minor"/>
    </font>
    <font>
      <sz val="10"/>
      <color rgb="FF3333FF"/>
      <name val="Calibri"/>
      <family val="2"/>
      <scheme val="minor"/>
    </font>
    <font>
      <b/>
      <sz val="12"/>
      <color rgb="FF3333FF"/>
      <name val="Calibri"/>
      <family val="2"/>
      <scheme val="minor"/>
    </font>
    <font>
      <b/>
      <sz val="10"/>
      <name val="Calibri"/>
      <family val="2"/>
      <scheme val="minor"/>
    </font>
    <font>
      <i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7" fillId="3" borderId="5" xfId="0" applyNumberFormat="1" applyFont="1" applyFill="1" applyBorder="1"/>
    <xf numFmtId="165" fontId="8" fillId="3" borderId="5" xfId="0" applyNumberFormat="1" applyFont="1" applyFill="1" applyBorder="1"/>
    <xf numFmtId="38" fontId="7" fillId="3" borderId="5" xfId="0" applyNumberFormat="1" applyFont="1" applyFill="1" applyBorder="1"/>
    <xf numFmtId="164" fontId="9" fillId="3" borderId="5" xfId="0" applyNumberFormat="1" applyFont="1" applyFill="1" applyBorder="1"/>
    <xf numFmtId="164" fontId="9" fillId="3" borderId="5" xfId="0" applyNumberFormat="1" applyFont="1" applyFill="1" applyBorder="1" applyAlignment="1">
      <alignment horizontal="center"/>
    </xf>
    <xf numFmtId="0" fontId="8" fillId="0" borderId="0" xfId="0" applyFont="1"/>
    <xf numFmtId="164" fontId="7" fillId="3" borderId="6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5" fontId="7" fillId="3" borderId="7" xfId="0" applyNumberFormat="1" applyFont="1" applyFill="1" applyBorder="1" applyAlignment="1">
      <alignment horizontal="center"/>
    </xf>
    <xf numFmtId="38" fontId="7" fillId="3" borderId="7" xfId="0" applyNumberFormat="1" applyFont="1" applyFill="1" applyBorder="1" applyAlignment="1">
      <alignment horizontal="center"/>
    </xf>
    <xf numFmtId="164" fontId="9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164" fontId="1" fillId="3" borderId="9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38" fontId="1" fillId="3" borderId="8" xfId="0" applyNumberFormat="1" applyFont="1" applyFill="1" applyBorder="1" applyAlignment="1">
      <alignment horizontal="center"/>
    </xf>
    <xf numFmtId="164" fontId="11" fillId="3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2" fillId="4" borderId="10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0" xfId="0" applyFont="1" applyBorder="1"/>
    <xf numFmtId="15" fontId="3" fillId="0" borderId="10" xfId="0" applyNumberFormat="1" applyFont="1" applyBorder="1"/>
    <xf numFmtId="165" fontId="3" fillId="0" borderId="10" xfId="0" applyNumberFormat="1" applyFont="1" applyBorder="1"/>
    <xf numFmtId="166" fontId="3" fillId="0" borderId="10" xfId="0" applyNumberFormat="1" applyFont="1" applyBorder="1" applyAlignment="1">
      <alignment horizontal="center"/>
    </xf>
    <xf numFmtId="165" fontId="13" fillId="0" borderId="10" xfId="0" applyNumberFormat="1" applyFont="1" applyBorder="1"/>
    <xf numFmtId="40" fontId="3" fillId="0" borderId="10" xfId="0" applyNumberFormat="1" applyFont="1" applyBorder="1"/>
    <xf numFmtId="40" fontId="13" fillId="0" borderId="10" xfId="0" applyNumberFormat="1" applyFont="1" applyBorder="1"/>
    <xf numFmtId="37" fontId="3" fillId="0" borderId="10" xfId="0" applyNumberFormat="1" applyFont="1" applyBorder="1"/>
    <xf numFmtId="0" fontId="14" fillId="3" borderId="10" xfId="0" applyFont="1" applyFill="1" applyBorder="1" applyAlignment="1">
      <alignment horizontal="center"/>
    </xf>
    <xf numFmtId="166" fontId="3" fillId="0" borderId="0" xfId="0" applyNumberFormat="1" applyFont="1" applyBorder="1" applyAlignment="1">
      <alignment horizontal="center"/>
    </xf>
    <xf numFmtId="0" fontId="13" fillId="0" borderId="0" xfId="0" applyFont="1" applyBorder="1"/>
    <xf numFmtId="0" fontId="15" fillId="0" borderId="0" xfId="0" applyFont="1" applyBorder="1"/>
    <xf numFmtId="0" fontId="3" fillId="0" borderId="10" xfId="0" applyFont="1" applyFill="1" applyBorder="1"/>
    <xf numFmtId="0" fontId="1" fillId="0" borderId="10" xfId="0" applyFont="1" applyBorder="1" applyAlignment="1">
      <alignment horizontal="center"/>
    </xf>
    <xf numFmtId="165" fontId="1" fillId="0" borderId="10" xfId="0" applyNumberFormat="1" applyFont="1" applyBorder="1"/>
    <xf numFmtId="166" fontId="1" fillId="0" borderId="10" xfId="0" applyNumberFormat="1" applyFont="1" applyBorder="1" applyAlignment="1">
      <alignment horizontal="center"/>
    </xf>
    <xf numFmtId="165" fontId="16" fillId="0" borderId="1" xfId="0" applyNumberFormat="1" applyFont="1" applyBorder="1"/>
    <xf numFmtId="165" fontId="16" fillId="0" borderId="10" xfId="0" applyNumberFormat="1" applyFont="1" applyBorder="1"/>
    <xf numFmtId="40" fontId="1" fillId="0" borderId="3" xfId="0" applyNumberFormat="1" applyFont="1" applyBorder="1"/>
    <xf numFmtId="40" fontId="16" fillId="0" borderId="3" xfId="0" applyNumberFormat="1" applyFont="1" applyBorder="1"/>
    <xf numFmtId="38" fontId="1" fillId="0" borderId="10" xfId="0" applyNumberFormat="1" applyFont="1" applyBorder="1"/>
    <xf numFmtId="0" fontId="17" fillId="0" borderId="0" xfId="0" applyFont="1"/>
    <xf numFmtId="0" fontId="14" fillId="3" borderId="4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12" fillId="4" borderId="3" xfId="0" applyFont="1" applyFill="1" applyBorder="1" applyAlignment="1">
      <alignment horizontal="center"/>
    </xf>
    <xf numFmtId="38" fontId="3" fillId="0" borderId="10" xfId="0" applyNumberFormat="1" applyFont="1" applyBorder="1" applyAlignment="1">
      <alignment horizontal="center"/>
    </xf>
    <xf numFmtId="0" fontId="12" fillId="0" borderId="0" xfId="0" applyFont="1" applyFill="1" applyBorder="1" applyAlignment="1"/>
    <xf numFmtId="38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15" fontId="1" fillId="0" borderId="0" xfId="0" applyNumberFormat="1" applyFont="1" applyBorder="1"/>
    <xf numFmtId="165" fontId="3" fillId="0" borderId="0" xfId="0" applyNumberFormat="1" applyFont="1" applyBorder="1"/>
    <xf numFmtId="165" fontId="13" fillId="0" borderId="0" xfId="0" applyNumberFormat="1" applyFont="1" applyBorder="1"/>
    <xf numFmtId="40" fontId="3" fillId="0" borderId="0" xfId="0" applyNumberFormat="1" applyFont="1" applyBorder="1"/>
    <xf numFmtId="40" fontId="13" fillId="0" borderId="0" xfId="0" applyNumberFormat="1" applyFont="1" applyBorder="1"/>
    <xf numFmtId="37" fontId="3" fillId="0" borderId="0" xfId="0" applyNumberFormat="1" applyFont="1" applyBorder="1"/>
    <xf numFmtId="0" fontId="3" fillId="0" borderId="0" xfId="0" applyFont="1" applyBorder="1" applyAlignment="1">
      <alignment horizontal="center"/>
    </xf>
    <xf numFmtId="165" fontId="1" fillId="0" borderId="0" xfId="0" applyNumberFormat="1" applyFont="1" applyBorder="1"/>
    <xf numFmtId="166" fontId="1" fillId="0" borderId="0" xfId="0" applyNumberFormat="1" applyFont="1" applyBorder="1" applyAlignment="1">
      <alignment horizontal="center"/>
    </xf>
    <xf numFmtId="165" fontId="16" fillId="0" borderId="0" xfId="0" applyNumberFormat="1" applyFont="1" applyBorder="1"/>
    <xf numFmtId="40" fontId="1" fillId="0" borderId="0" xfId="0" applyNumberFormat="1" applyFont="1" applyBorder="1"/>
    <xf numFmtId="40" fontId="16" fillId="0" borderId="0" xfId="0" applyNumberFormat="1" applyFont="1" applyBorder="1"/>
    <xf numFmtId="38" fontId="1" fillId="0" borderId="0" xfId="0" applyNumberFormat="1" applyFont="1" applyBorder="1"/>
    <xf numFmtId="15" fontId="3" fillId="0" borderId="10" xfId="0" applyNumberFormat="1" applyFont="1" applyFill="1" applyBorder="1"/>
    <xf numFmtId="165" fontId="3" fillId="0" borderId="10" xfId="0" applyNumberFormat="1" applyFont="1" applyFill="1" applyBorder="1"/>
    <xf numFmtId="166" fontId="3" fillId="0" borderId="10" xfId="0" applyNumberFormat="1" applyFont="1" applyFill="1" applyBorder="1" applyAlignment="1">
      <alignment horizontal="center"/>
    </xf>
    <xf numFmtId="165" fontId="13" fillId="0" borderId="10" xfId="0" applyNumberFormat="1" applyFont="1" applyFill="1" applyBorder="1"/>
    <xf numFmtId="40" fontId="3" fillId="0" borderId="10" xfId="0" applyNumberFormat="1" applyFont="1" applyFill="1" applyBorder="1"/>
    <xf numFmtId="40" fontId="13" fillId="0" borderId="10" xfId="0" applyNumberFormat="1" applyFont="1" applyFill="1" applyBorder="1"/>
    <xf numFmtId="37" fontId="3" fillId="0" borderId="10" xfId="0" applyNumberFormat="1" applyFont="1" applyFill="1" applyBorder="1"/>
    <xf numFmtId="0" fontId="5" fillId="0" borderId="0" xfId="0" applyFont="1" applyFill="1"/>
    <xf numFmtId="167" fontId="3" fillId="0" borderId="10" xfId="0" applyNumberFormat="1" applyFont="1" applyBorder="1"/>
    <xf numFmtId="38" fontId="1" fillId="0" borderId="10" xfId="0" applyNumberFormat="1" applyFont="1" applyBorder="1" applyAlignment="1">
      <alignment horizontal="center"/>
    </xf>
    <xf numFmtId="38" fontId="3" fillId="0" borderId="0" xfId="0" applyNumberFormat="1" applyFont="1" applyBorder="1" applyAlignment="1">
      <alignment horizontal="center"/>
    </xf>
    <xf numFmtId="15" fontId="3" fillId="0" borderId="0" xfId="0" applyNumberFormat="1" applyFont="1" applyBorder="1"/>
    <xf numFmtId="38" fontId="3" fillId="0" borderId="10" xfId="0" applyNumberFormat="1" applyFont="1" applyFill="1" applyBorder="1" applyAlignment="1">
      <alignment horizontal="center"/>
    </xf>
    <xf numFmtId="168" fontId="3" fillId="0" borderId="10" xfId="0" applyNumberFormat="1" applyFont="1" applyBorder="1"/>
    <xf numFmtId="40" fontId="3" fillId="0" borderId="1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807"/>
  <sheetViews>
    <sheetView showGridLines="0"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7" sqref="D7"/>
    </sheetView>
  </sheetViews>
  <sheetFormatPr defaultColWidth="9.109375" defaultRowHeight="13.8" x14ac:dyDescent="0.3"/>
  <cols>
    <col min="1" max="1" width="3.6640625" style="7" customWidth="1"/>
    <col min="2" max="2" width="8.6640625" style="7" bestFit="1" customWidth="1"/>
    <col min="3" max="3" width="12.6640625" style="7" bestFit="1" customWidth="1"/>
    <col min="4" max="4" width="61.44140625" style="7" customWidth="1"/>
    <col min="5" max="5" width="13.109375" style="7" bestFit="1" customWidth="1"/>
    <col min="6" max="6" width="14.88671875" style="7" customWidth="1"/>
    <col min="7" max="7" width="8.5546875" style="7" bestFit="1" customWidth="1"/>
    <col min="8" max="8" width="13.6640625" style="8" bestFit="1" customWidth="1"/>
    <col min="9" max="9" width="14.88671875" style="7" customWidth="1"/>
    <col min="10" max="10" width="16.6640625" style="7" customWidth="1"/>
    <col min="11" max="11" width="16.6640625" style="7" bestFit="1" customWidth="1"/>
    <col min="12" max="12" width="13.6640625" style="7" customWidth="1"/>
    <col min="13" max="13" width="15.33203125" style="7" bestFit="1" customWidth="1"/>
    <col min="14" max="14" width="14.33203125" style="8" bestFit="1" customWidth="1"/>
    <col min="15" max="15" width="15" style="7" bestFit="1" customWidth="1"/>
    <col min="16" max="18" width="12.5546875" style="7" bestFit="1" customWidth="1"/>
    <col min="19" max="19" width="12.5546875" style="7" customWidth="1"/>
    <col min="20" max="20" width="13.5546875" style="7" bestFit="1" customWidth="1"/>
    <col min="21" max="16384" width="9.109375" style="7"/>
  </cols>
  <sheetData>
    <row r="1" spans="2:20" ht="31.2" x14ac:dyDescent="0.6">
      <c r="B1" s="1"/>
      <c r="C1" s="1"/>
      <c r="D1" s="2" t="s">
        <v>0</v>
      </c>
      <c r="E1" s="3"/>
      <c r="F1" s="4"/>
      <c r="G1" s="5"/>
      <c r="H1" s="6"/>
    </row>
    <row r="2" spans="2:20" s="16" customFormat="1" ht="14.4" x14ac:dyDescent="0.3">
      <c r="B2" s="9"/>
      <c r="C2" s="10"/>
      <c r="D2" s="11"/>
      <c r="E2" s="11"/>
      <c r="F2" s="12"/>
      <c r="G2" s="13"/>
      <c r="H2" s="14"/>
      <c r="I2" s="11"/>
      <c r="J2" s="11"/>
      <c r="K2" s="11"/>
      <c r="L2" s="10" t="s">
        <v>1</v>
      </c>
      <c r="M2" s="10" t="s">
        <v>2</v>
      </c>
      <c r="N2" s="15"/>
      <c r="O2" s="10" t="s">
        <v>2</v>
      </c>
      <c r="P2" s="10"/>
      <c r="Q2" s="10"/>
      <c r="R2" s="15"/>
      <c r="S2" s="10"/>
      <c r="T2" s="10" t="s">
        <v>4</v>
      </c>
    </row>
    <row r="3" spans="2:20" s="16" customFormat="1" ht="14.4" x14ac:dyDescent="0.3">
      <c r="B3" s="17" t="s">
        <v>6</v>
      </c>
      <c r="C3" s="18" t="s">
        <v>7</v>
      </c>
      <c r="D3" s="18"/>
      <c r="E3" s="19" t="s">
        <v>8</v>
      </c>
      <c r="F3" s="19" t="s">
        <v>9</v>
      </c>
      <c r="G3" s="20" t="s">
        <v>10</v>
      </c>
      <c r="H3" s="21" t="s">
        <v>4</v>
      </c>
      <c r="I3" s="18" t="s">
        <v>11</v>
      </c>
      <c r="J3" s="18" t="s">
        <v>3</v>
      </c>
      <c r="K3" s="18" t="s">
        <v>12</v>
      </c>
      <c r="L3" s="18" t="s">
        <v>13</v>
      </c>
      <c r="M3" s="18" t="s">
        <v>14</v>
      </c>
      <c r="N3" s="21" t="s">
        <v>15</v>
      </c>
      <c r="O3" s="18" t="s">
        <v>16</v>
      </c>
      <c r="P3" s="18" t="s">
        <v>18</v>
      </c>
      <c r="Q3" s="18" t="s">
        <v>19</v>
      </c>
      <c r="R3" s="21" t="s">
        <v>3</v>
      </c>
      <c r="S3" s="18" t="s">
        <v>20</v>
      </c>
      <c r="T3" s="18" t="s">
        <v>21</v>
      </c>
    </row>
    <row r="4" spans="2:20" s="16" customFormat="1" ht="14.4" x14ac:dyDescent="0.3">
      <c r="B4" s="17" t="s">
        <v>22</v>
      </c>
      <c r="C4" s="18"/>
      <c r="D4" s="18" t="s">
        <v>23</v>
      </c>
      <c r="E4" s="19" t="s">
        <v>24</v>
      </c>
      <c r="F4" s="19" t="s">
        <v>17</v>
      </c>
      <c r="G4" s="20" t="s">
        <v>25</v>
      </c>
      <c r="H4" s="21" t="s">
        <v>26</v>
      </c>
      <c r="I4" s="18"/>
      <c r="J4" s="18" t="s">
        <v>27</v>
      </c>
      <c r="K4" s="18" t="s">
        <v>28</v>
      </c>
      <c r="L4" s="18" t="s">
        <v>29</v>
      </c>
      <c r="M4" s="18" t="s">
        <v>15</v>
      </c>
      <c r="N4" s="21"/>
      <c r="O4" s="18" t="s">
        <v>15</v>
      </c>
      <c r="P4" s="18" t="s">
        <v>5</v>
      </c>
      <c r="Q4" s="18" t="s">
        <v>5</v>
      </c>
      <c r="R4" s="21" t="s">
        <v>5</v>
      </c>
      <c r="S4" s="18" t="s">
        <v>30</v>
      </c>
      <c r="T4" s="18" t="s">
        <v>31</v>
      </c>
    </row>
    <row r="5" spans="2:20" ht="15.6" x14ac:dyDescent="0.3">
      <c r="B5" s="22"/>
      <c r="C5" s="23"/>
      <c r="D5" s="23"/>
      <c r="E5" s="23"/>
      <c r="F5" s="24" t="s">
        <v>32</v>
      </c>
      <c r="G5" s="25"/>
      <c r="H5" s="26" t="s">
        <v>33</v>
      </c>
      <c r="I5" s="24" t="s">
        <v>32</v>
      </c>
      <c r="J5" s="24" t="s">
        <v>32</v>
      </c>
      <c r="K5" s="24" t="s">
        <v>32</v>
      </c>
      <c r="L5" s="24" t="s">
        <v>32</v>
      </c>
      <c r="M5" s="24" t="s">
        <v>32</v>
      </c>
      <c r="N5" s="26" t="s">
        <v>32</v>
      </c>
      <c r="O5" s="24" t="s">
        <v>32</v>
      </c>
      <c r="P5" s="24" t="s">
        <v>34</v>
      </c>
      <c r="Q5" s="24" t="s">
        <v>34</v>
      </c>
      <c r="R5" s="26" t="s">
        <v>34</v>
      </c>
      <c r="S5" s="24" t="s">
        <v>34</v>
      </c>
      <c r="T5" s="23" t="s">
        <v>35</v>
      </c>
    </row>
    <row r="6" spans="2:20" ht="15.6" x14ac:dyDescent="0.3">
      <c r="B6" s="27"/>
      <c r="C6" s="27"/>
      <c r="D6" s="27"/>
      <c r="E6" s="27"/>
      <c r="F6" s="27"/>
      <c r="G6" s="27"/>
      <c r="H6" s="28"/>
      <c r="I6" s="29"/>
      <c r="J6" s="29"/>
      <c r="K6" s="29"/>
      <c r="L6" s="29"/>
      <c r="M6" s="29"/>
      <c r="N6" s="30"/>
      <c r="O6" s="29"/>
      <c r="P6" s="29"/>
      <c r="Q6" s="29"/>
      <c r="R6" s="30"/>
      <c r="S6" s="29"/>
      <c r="T6" s="29"/>
    </row>
    <row r="7" spans="2:20" ht="18" x14ac:dyDescent="0.35">
      <c r="B7" s="27"/>
      <c r="C7" s="31">
        <v>1</v>
      </c>
      <c r="D7" s="31" t="s">
        <v>36</v>
      </c>
      <c r="E7" s="27"/>
      <c r="F7" s="27"/>
      <c r="G7" s="27"/>
      <c r="H7" s="28"/>
      <c r="I7" s="29"/>
      <c r="J7" s="29"/>
      <c r="K7" s="29"/>
      <c r="L7" s="29"/>
      <c r="M7" s="29"/>
      <c r="N7" s="30"/>
      <c r="O7" s="29"/>
      <c r="P7" s="29"/>
      <c r="Q7" s="29"/>
      <c r="R7" s="30"/>
      <c r="S7" s="29"/>
      <c r="T7" s="29"/>
    </row>
    <row r="8" spans="2:20" ht="15.6" x14ac:dyDescent="0.3">
      <c r="B8" s="27"/>
      <c r="C8" s="27"/>
      <c r="D8" s="27"/>
      <c r="E8" s="27"/>
      <c r="F8" s="27"/>
      <c r="G8" s="27"/>
      <c r="H8" s="28"/>
      <c r="I8" s="29"/>
      <c r="J8" s="29"/>
      <c r="K8" s="29"/>
      <c r="L8" s="29"/>
      <c r="M8" s="29"/>
      <c r="N8" s="30"/>
      <c r="O8" s="29"/>
      <c r="P8" s="29"/>
      <c r="Q8" s="29"/>
      <c r="R8" s="30"/>
      <c r="S8" s="29"/>
      <c r="T8" s="29"/>
    </row>
    <row r="9" spans="2:20" ht="15.6" x14ac:dyDescent="0.3">
      <c r="B9" s="32">
        <v>1</v>
      </c>
      <c r="C9" s="32" t="s">
        <v>37</v>
      </c>
      <c r="D9" s="33" t="s">
        <v>38</v>
      </c>
      <c r="E9" s="34">
        <v>45107</v>
      </c>
      <c r="F9" s="35">
        <v>2835</v>
      </c>
      <c r="G9" s="36">
        <v>10</v>
      </c>
      <c r="H9" s="37">
        <f>+F9/G9</f>
        <v>283.5</v>
      </c>
      <c r="I9" s="35"/>
      <c r="J9" s="35"/>
      <c r="K9" s="35"/>
      <c r="L9" s="35"/>
      <c r="M9" s="35"/>
      <c r="N9" s="37">
        <f>+M9-O9</f>
        <v>0</v>
      </c>
      <c r="O9" s="35"/>
      <c r="P9" s="38">
        <v>12</v>
      </c>
      <c r="Q9" s="38">
        <v>0</v>
      </c>
      <c r="R9" s="39">
        <f>SUM(P9:Q9)</f>
        <v>12</v>
      </c>
      <c r="S9" s="38"/>
      <c r="T9" s="40"/>
    </row>
    <row r="10" spans="2:20" ht="15.6" x14ac:dyDescent="0.3">
      <c r="B10" s="32">
        <f>+B9+1</f>
        <v>2</v>
      </c>
      <c r="C10" s="32" t="s">
        <v>39</v>
      </c>
      <c r="D10" s="33" t="s">
        <v>40</v>
      </c>
      <c r="E10" s="34">
        <v>45107</v>
      </c>
      <c r="F10" s="35">
        <v>2841.25</v>
      </c>
      <c r="G10" s="36">
        <v>10</v>
      </c>
      <c r="H10" s="37">
        <f>+F10/G10</f>
        <v>284.125</v>
      </c>
      <c r="I10" s="35"/>
      <c r="J10" s="35"/>
      <c r="K10" s="35"/>
      <c r="L10" s="35"/>
      <c r="M10" s="35"/>
      <c r="N10" s="37">
        <f>+M10-O10</f>
        <v>0</v>
      </c>
      <c r="O10" s="35"/>
      <c r="P10" s="38">
        <v>4</v>
      </c>
      <c r="Q10" s="38">
        <v>0</v>
      </c>
      <c r="R10" s="39">
        <f>SUM(P10:Q10)</f>
        <v>4</v>
      </c>
      <c r="S10" s="38"/>
      <c r="T10" s="40"/>
    </row>
    <row r="11" spans="2:20" ht="15.6" x14ac:dyDescent="0.3">
      <c r="B11" s="32">
        <f>+B10+1</f>
        <v>3</v>
      </c>
      <c r="C11" s="32" t="s">
        <v>41</v>
      </c>
      <c r="D11" s="33" t="s">
        <v>42</v>
      </c>
      <c r="E11" s="34">
        <v>45107</v>
      </c>
      <c r="F11" s="35">
        <f>5*G11</f>
        <v>50</v>
      </c>
      <c r="G11" s="36">
        <v>10</v>
      </c>
      <c r="H11" s="37">
        <f>+F11/G11</f>
        <v>5</v>
      </c>
      <c r="I11" s="35">
        <v>41.522097000000002</v>
      </c>
      <c r="J11" s="35">
        <v>62.530087000000002</v>
      </c>
      <c r="K11" s="35">
        <v>-14.886616</v>
      </c>
      <c r="L11" s="35">
        <v>0</v>
      </c>
      <c r="M11" s="35">
        <v>-16.850124999999998</v>
      </c>
      <c r="N11" s="37">
        <f>+M11-O11</f>
        <v>7.3930000000000717E-2</v>
      </c>
      <c r="O11" s="35">
        <v>-16.924054999999999</v>
      </c>
      <c r="P11" s="38">
        <v>0</v>
      </c>
      <c r="Q11" s="38">
        <v>0</v>
      </c>
      <c r="R11" s="39">
        <f>SUM(P11:Q11)</f>
        <v>0</v>
      </c>
      <c r="S11" s="38"/>
      <c r="T11" s="40">
        <v>2554</v>
      </c>
    </row>
    <row r="13" spans="2:20" ht="18" x14ac:dyDescent="0.35">
      <c r="B13" s="27"/>
      <c r="C13" s="27"/>
      <c r="D13" s="41" t="s">
        <v>43</v>
      </c>
      <c r="E13" s="27"/>
      <c r="F13" s="27"/>
      <c r="G13" s="42"/>
      <c r="H13" s="43"/>
      <c r="I13" s="29"/>
      <c r="J13" s="29"/>
      <c r="K13" s="29"/>
      <c r="L13" s="29"/>
      <c r="M13" s="29"/>
      <c r="N13" s="44"/>
      <c r="O13" s="29"/>
      <c r="P13" s="29"/>
      <c r="Q13" s="29"/>
      <c r="R13" s="44"/>
      <c r="S13" s="29"/>
      <c r="T13" s="29"/>
    </row>
    <row r="14" spans="2:20" ht="15.6" x14ac:dyDescent="0.3">
      <c r="B14" s="32">
        <v>1</v>
      </c>
      <c r="C14" s="32" t="s">
        <v>44</v>
      </c>
      <c r="D14" s="45" t="s">
        <v>45</v>
      </c>
      <c r="E14" s="34">
        <v>45107</v>
      </c>
      <c r="F14" s="35"/>
      <c r="G14" s="36">
        <v>10</v>
      </c>
      <c r="H14" s="37">
        <f>+F14/G14</f>
        <v>0</v>
      </c>
      <c r="I14" s="35"/>
      <c r="J14" s="35"/>
      <c r="K14" s="35"/>
      <c r="L14" s="35"/>
      <c r="M14" s="35"/>
      <c r="N14" s="37">
        <f>+M14-O14</f>
        <v>0</v>
      </c>
      <c r="O14" s="35"/>
      <c r="P14" s="38"/>
      <c r="Q14" s="38"/>
      <c r="R14" s="39">
        <f>SUM(P14:Q14)</f>
        <v>0</v>
      </c>
      <c r="S14" s="38"/>
      <c r="T14" s="40"/>
    </row>
    <row r="15" spans="2:20" ht="15.6" x14ac:dyDescent="0.3">
      <c r="B15" s="32">
        <f>+B14+1</f>
        <v>2</v>
      </c>
      <c r="C15" s="32" t="s">
        <v>46</v>
      </c>
      <c r="D15" s="33" t="s">
        <v>47</v>
      </c>
      <c r="E15" s="34">
        <v>45107</v>
      </c>
      <c r="F15" s="35"/>
      <c r="G15" s="36">
        <v>10</v>
      </c>
      <c r="H15" s="37">
        <f>+F15/G15</f>
        <v>0</v>
      </c>
      <c r="I15" s="35"/>
      <c r="J15" s="35"/>
      <c r="K15" s="35"/>
      <c r="L15" s="35"/>
      <c r="M15" s="35"/>
      <c r="N15" s="37">
        <f>+M15-O15</f>
        <v>0</v>
      </c>
      <c r="O15" s="35"/>
      <c r="P15" s="38"/>
      <c r="Q15" s="38"/>
      <c r="R15" s="39">
        <f>SUM(P15:Q15)</f>
        <v>0</v>
      </c>
      <c r="S15" s="38"/>
      <c r="T15" s="40"/>
    </row>
    <row r="16" spans="2:20" ht="15.6" x14ac:dyDescent="0.3">
      <c r="B16" s="27"/>
      <c r="C16" s="27"/>
      <c r="D16" s="27"/>
      <c r="E16" s="27"/>
      <c r="F16" s="27"/>
      <c r="G16" s="42"/>
      <c r="H16" s="43"/>
      <c r="I16" s="29"/>
      <c r="J16" s="29"/>
      <c r="K16" s="29"/>
      <c r="L16" s="29"/>
      <c r="M16" s="29"/>
      <c r="N16" s="44"/>
      <c r="O16" s="29"/>
      <c r="P16" s="29"/>
      <c r="Q16" s="29"/>
      <c r="R16" s="44"/>
      <c r="S16" s="29"/>
      <c r="T16" s="29"/>
    </row>
    <row r="17" spans="2:20" s="54" customFormat="1" ht="15.6" x14ac:dyDescent="0.3">
      <c r="B17" s="46">
        <f>COUNT(B9:B16)</f>
        <v>5</v>
      </c>
      <c r="C17" s="46"/>
      <c r="D17" s="47"/>
      <c r="E17" s="47"/>
      <c r="F17" s="47">
        <f>SUM(F9:F16)</f>
        <v>5726.25</v>
      </c>
      <c r="G17" s="48"/>
      <c r="H17" s="49">
        <f>SUM(H9:H16)</f>
        <v>572.625</v>
      </c>
      <c r="I17" s="47">
        <f>SUM(I9:I16)</f>
        <v>41.522097000000002</v>
      </c>
      <c r="J17" s="47">
        <f>SUM(J9:J16)</f>
        <v>62.530087000000002</v>
      </c>
      <c r="K17" s="47">
        <f>SUM(K9:K16)</f>
        <v>-14.886616</v>
      </c>
      <c r="L17" s="47">
        <f>SUM(L9:L16)</f>
        <v>0</v>
      </c>
      <c r="M17" s="47">
        <f>SUM(M9:M16)</f>
        <v>-16.850124999999998</v>
      </c>
      <c r="N17" s="50">
        <f>SUM(N9:N16)</f>
        <v>7.3930000000000717E-2</v>
      </c>
      <c r="O17" s="47">
        <f>SUM(O9:O16)</f>
        <v>-16.924054999999999</v>
      </c>
      <c r="P17" s="51"/>
      <c r="Q17" s="51"/>
      <c r="R17" s="52"/>
      <c r="S17" s="51"/>
      <c r="T17" s="53">
        <f>SUM(T9:T16)</f>
        <v>2554</v>
      </c>
    </row>
    <row r="18" spans="2:20" ht="15.6" x14ac:dyDescent="0.3">
      <c r="B18" s="27"/>
      <c r="C18" s="27"/>
      <c r="D18" s="27"/>
      <c r="E18" s="27"/>
      <c r="F18" s="27"/>
      <c r="G18" s="42"/>
      <c r="H18" s="43"/>
      <c r="I18" s="29"/>
      <c r="J18" s="29"/>
      <c r="K18" s="29"/>
      <c r="L18" s="29"/>
      <c r="M18" s="29"/>
      <c r="N18" s="44"/>
      <c r="O18" s="29"/>
      <c r="P18" s="29"/>
      <c r="Q18" s="29"/>
      <c r="R18" s="44"/>
      <c r="S18" s="29"/>
      <c r="T18" s="29"/>
    </row>
    <row r="19" spans="2:20" ht="15.6" x14ac:dyDescent="0.3">
      <c r="B19" s="27"/>
      <c r="C19" s="27"/>
      <c r="D19" s="27"/>
      <c r="E19" s="27"/>
      <c r="F19" s="27"/>
      <c r="G19" s="42"/>
      <c r="H19" s="43"/>
      <c r="I19" s="29"/>
      <c r="J19" s="29"/>
      <c r="K19" s="29"/>
      <c r="L19" s="29"/>
      <c r="M19" s="29"/>
      <c r="N19" s="44"/>
      <c r="O19" s="29"/>
      <c r="P19" s="29"/>
      <c r="Q19" s="29"/>
      <c r="R19" s="44"/>
      <c r="S19" s="29"/>
      <c r="T19" s="29"/>
    </row>
    <row r="20" spans="2:20" ht="18" x14ac:dyDescent="0.35">
      <c r="B20" s="27"/>
      <c r="C20" s="31">
        <v>2</v>
      </c>
      <c r="D20" s="31" t="s">
        <v>48</v>
      </c>
      <c r="E20" s="27"/>
      <c r="F20" s="27"/>
      <c r="G20" s="42"/>
      <c r="H20" s="43"/>
      <c r="I20" s="29"/>
      <c r="J20" s="29"/>
      <c r="K20" s="29"/>
      <c r="L20" s="29"/>
      <c r="M20" s="29"/>
      <c r="N20" s="44"/>
      <c r="O20" s="29"/>
      <c r="P20" s="29"/>
      <c r="Q20" s="29"/>
      <c r="R20" s="44"/>
      <c r="S20" s="29"/>
      <c r="T20" s="29"/>
    </row>
    <row r="21" spans="2:20" ht="15.6" x14ac:dyDescent="0.3">
      <c r="B21" s="27"/>
      <c r="C21" s="27"/>
      <c r="D21" s="27"/>
      <c r="E21" s="27"/>
      <c r="F21" s="27"/>
      <c r="G21" s="42"/>
      <c r="H21" s="43"/>
      <c r="I21" s="29"/>
      <c r="J21" s="29"/>
      <c r="K21" s="29"/>
      <c r="L21" s="29"/>
      <c r="M21" s="29"/>
      <c r="N21" s="44"/>
      <c r="O21" s="29"/>
      <c r="P21" s="29"/>
      <c r="Q21" s="29"/>
      <c r="R21" s="44"/>
      <c r="S21" s="29"/>
      <c r="T21" s="29"/>
    </row>
    <row r="22" spans="2:20" ht="15.6" x14ac:dyDescent="0.3">
      <c r="B22" s="32">
        <v>1</v>
      </c>
      <c r="C22" s="32" t="s">
        <v>49</v>
      </c>
      <c r="D22" s="33" t="s">
        <v>50</v>
      </c>
      <c r="E22" s="34">
        <v>45107</v>
      </c>
      <c r="F22" s="35">
        <f>220*G22</f>
        <v>2200</v>
      </c>
      <c r="G22" s="36">
        <v>10</v>
      </c>
      <c r="H22" s="37">
        <f t="shared" ref="H22:H43" si="0">+F22/G22</f>
        <v>220</v>
      </c>
      <c r="I22" s="35">
        <v>5238.1746659999999</v>
      </c>
      <c r="J22" s="35">
        <v>8584.4313579999998</v>
      </c>
      <c r="K22" s="35">
        <v>5108.5924379999997</v>
      </c>
      <c r="L22" s="35">
        <v>181.209306</v>
      </c>
      <c r="M22" s="35">
        <v>969.34658100000001</v>
      </c>
      <c r="N22" s="37">
        <f t="shared" ref="N22:N44" si="1">+M22-O22</f>
        <v>667.96284600000001</v>
      </c>
      <c r="O22" s="35">
        <v>301.383735</v>
      </c>
      <c r="P22" s="38">
        <v>0</v>
      </c>
      <c r="Q22" s="38">
        <v>0</v>
      </c>
      <c r="R22" s="39">
        <f t="shared" ref="R22:R43" si="2">SUM(P22:Q22)</f>
        <v>0</v>
      </c>
      <c r="S22" s="38"/>
      <c r="T22" s="40">
        <v>206</v>
      </c>
    </row>
    <row r="23" spans="2:20" ht="15.6" x14ac:dyDescent="0.3">
      <c r="B23" s="32">
        <f>+B22+1</f>
        <v>2</v>
      </c>
      <c r="C23" s="32" t="s">
        <v>51</v>
      </c>
      <c r="D23" s="33" t="s">
        <v>52</v>
      </c>
      <c r="E23" s="34">
        <v>45107</v>
      </c>
      <c r="F23" s="35">
        <f>7.515158*G23</f>
        <v>75.151579999999996</v>
      </c>
      <c r="G23" s="36">
        <v>10</v>
      </c>
      <c r="H23" s="37">
        <f t="shared" si="0"/>
        <v>7.5151579999999996</v>
      </c>
      <c r="I23" s="35">
        <v>113.710002</v>
      </c>
      <c r="J23" s="35">
        <v>113.710002</v>
      </c>
      <c r="K23" s="35">
        <v>10.459816</v>
      </c>
      <c r="L23" s="35">
        <v>0</v>
      </c>
      <c r="M23" s="35">
        <v>-5.127955</v>
      </c>
      <c r="N23" s="37">
        <f t="shared" si="1"/>
        <v>0.8711549999999999</v>
      </c>
      <c r="O23" s="35">
        <v>-5.9991099999999999</v>
      </c>
      <c r="P23" s="38">
        <v>0</v>
      </c>
      <c r="Q23" s="38">
        <v>0</v>
      </c>
      <c r="R23" s="39">
        <f t="shared" si="2"/>
        <v>0</v>
      </c>
      <c r="S23" s="38"/>
      <c r="T23" s="40">
        <v>1223</v>
      </c>
    </row>
    <row r="24" spans="2:20" ht="15.6" x14ac:dyDescent="0.3">
      <c r="B24" s="32">
        <f>+B23+1</f>
        <v>3</v>
      </c>
      <c r="C24" s="32" t="s">
        <v>53</v>
      </c>
      <c r="D24" s="33" t="s">
        <v>54</v>
      </c>
      <c r="E24" s="34">
        <v>45107</v>
      </c>
      <c r="F24" s="35">
        <f>23.1*G24</f>
        <v>231</v>
      </c>
      <c r="G24" s="36">
        <v>10</v>
      </c>
      <c r="H24" s="37">
        <f t="shared" si="0"/>
        <v>23.1</v>
      </c>
      <c r="I24" s="35">
        <v>255.94141099999999</v>
      </c>
      <c r="J24" s="35">
        <v>265.26475099999999</v>
      </c>
      <c r="K24" s="35">
        <v>35.316338000000002</v>
      </c>
      <c r="L24" s="35">
        <v>13.474</v>
      </c>
      <c r="M24" s="35">
        <v>3.603062</v>
      </c>
      <c r="N24" s="37">
        <f t="shared" si="1"/>
        <v>3.0685090000000002</v>
      </c>
      <c r="O24" s="35">
        <v>0.53455299999999994</v>
      </c>
      <c r="P24" s="38">
        <v>0</v>
      </c>
      <c r="Q24" s="38">
        <v>0</v>
      </c>
      <c r="R24" s="39">
        <f t="shared" si="2"/>
        <v>0</v>
      </c>
      <c r="S24" s="38"/>
      <c r="T24" s="40">
        <v>547</v>
      </c>
    </row>
    <row r="25" spans="2:20" ht="15.6" x14ac:dyDescent="0.3">
      <c r="B25" s="32">
        <f t="shared" ref="B25:B44" si="3">+B24+1</f>
        <v>4</v>
      </c>
      <c r="C25" s="32" t="s">
        <v>55</v>
      </c>
      <c r="D25" s="33" t="s">
        <v>56</v>
      </c>
      <c r="E25" s="34">
        <v>45107</v>
      </c>
      <c r="F25" s="35"/>
      <c r="G25" s="36">
        <v>10</v>
      </c>
      <c r="H25" s="37">
        <f t="shared" si="0"/>
        <v>0</v>
      </c>
      <c r="I25" s="35"/>
      <c r="J25" s="35"/>
      <c r="K25" s="35"/>
      <c r="L25" s="35"/>
      <c r="M25" s="35"/>
      <c r="N25" s="37">
        <f t="shared" si="1"/>
        <v>0</v>
      </c>
      <c r="O25" s="35"/>
      <c r="P25" s="38"/>
      <c r="Q25" s="38"/>
      <c r="R25" s="39">
        <f t="shared" si="2"/>
        <v>0</v>
      </c>
      <c r="S25" s="38"/>
      <c r="T25" s="40"/>
    </row>
    <row r="26" spans="2:20" ht="15.6" x14ac:dyDescent="0.3">
      <c r="B26" s="32">
        <f t="shared" si="3"/>
        <v>5</v>
      </c>
      <c r="C26" s="32" t="s">
        <v>57</v>
      </c>
      <c r="D26" s="33" t="s">
        <v>58</v>
      </c>
      <c r="E26" s="34">
        <v>45107</v>
      </c>
      <c r="F26" s="35">
        <f>11.34*G26</f>
        <v>113.4</v>
      </c>
      <c r="G26" s="36">
        <v>10</v>
      </c>
      <c r="H26" s="37">
        <f t="shared" si="0"/>
        <v>11.34</v>
      </c>
      <c r="I26" s="35">
        <v>92.541293999999994</v>
      </c>
      <c r="J26" s="35">
        <v>162.89753400000001</v>
      </c>
      <c r="K26" s="35">
        <v>34.002932000000001</v>
      </c>
      <c r="L26" s="35">
        <v>7.5880000000000001E-3</v>
      </c>
      <c r="M26" s="35">
        <v>-6.2559620000000002</v>
      </c>
      <c r="N26" s="37">
        <f t="shared" si="1"/>
        <v>0.80506399999999978</v>
      </c>
      <c r="O26" s="35">
        <v>-7.061026</v>
      </c>
      <c r="P26" s="38">
        <v>0</v>
      </c>
      <c r="Q26" s="38">
        <v>0</v>
      </c>
      <c r="R26" s="39">
        <f t="shared" si="2"/>
        <v>0</v>
      </c>
      <c r="S26" s="38"/>
      <c r="T26" s="40">
        <v>4328</v>
      </c>
    </row>
    <row r="27" spans="2:20" ht="15.6" x14ac:dyDescent="0.3">
      <c r="B27" s="32">
        <f t="shared" si="3"/>
        <v>6</v>
      </c>
      <c r="C27" s="32" t="s">
        <v>59</v>
      </c>
      <c r="D27" s="33" t="s">
        <v>60</v>
      </c>
      <c r="E27" s="34">
        <v>45107</v>
      </c>
      <c r="F27" s="35">
        <f>52.44*G27</f>
        <v>524.4</v>
      </c>
      <c r="G27" s="36">
        <v>10</v>
      </c>
      <c r="H27" s="37">
        <f t="shared" si="0"/>
        <v>52.44</v>
      </c>
      <c r="I27" s="35">
        <v>530.49667199999999</v>
      </c>
      <c r="J27" s="35">
        <v>578.84552900000006</v>
      </c>
      <c r="K27" s="35">
        <v>4.7512980000000002</v>
      </c>
      <c r="L27" s="35">
        <v>6.2741000000000005E-2</v>
      </c>
      <c r="M27" s="35">
        <v>-21.514899</v>
      </c>
      <c r="N27" s="37">
        <f t="shared" si="1"/>
        <v>0.83106899999999939</v>
      </c>
      <c r="O27" s="35">
        <v>-22.345967999999999</v>
      </c>
      <c r="P27" s="38">
        <v>0</v>
      </c>
      <c r="Q27" s="38">
        <v>0</v>
      </c>
      <c r="R27" s="39">
        <f t="shared" si="2"/>
        <v>0</v>
      </c>
      <c r="S27" s="38"/>
      <c r="T27" s="40">
        <v>4804</v>
      </c>
    </row>
    <row r="28" spans="2:20" ht="15.6" x14ac:dyDescent="0.3">
      <c r="B28" s="32">
        <f>+B27+1</f>
        <v>7</v>
      </c>
      <c r="C28" s="32" t="s">
        <v>61</v>
      </c>
      <c r="D28" s="33" t="s">
        <v>62</v>
      </c>
      <c r="E28" s="34">
        <v>45107</v>
      </c>
      <c r="F28" s="35">
        <f>26.413804*G28</f>
        <v>264.13803999999999</v>
      </c>
      <c r="G28" s="36">
        <v>10</v>
      </c>
      <c r="H28" s="37">
        <f t="shared" si="0"/>
        <v>26.413803999999999</v>
      </c>
      <c r="I28" s="35">
        <v>324.82320700000002</v>
      </c>
      <c r="J28" s="35">
        <v>357.48088799999999</v>
      </c>
      <c r="K28" s="35">
        <v>17.156573000000002</v>
      </c>
      <c r="L28" s="35">
        <v>0</v>
      </c>
      <c r="M28" s="35">
        <v>-2.190064</v>
      </c>
      <c r="N28" s="37">
        <f t="shared" si="1"/>
        <v>0.2144569999999999</v>
      </c>
      <c r="O28" s="35">
        <v>-2.4045209999999999</v>
      </c>
      <c r="P28" s="38">
        <v>0</v>
      </c>
      <c r="Q28" s="38">
        <v>0</v>
      </c>
      <c r="R28" s="39">
        <f t="shared" si="2"/>
        <v>0</v>
      </c>
      <c r="S28" s="38"/>
      <c r="T28" s="40">
        <v>7302</v>
      </c>
    </row>
    <row r="29" spans="2:20" ht="15.6" x14ac:dyDescent="0.3">
      <c r="B29" s="32">
        <f t="shared" si="3"/>
        <v>8</v>
      </c>
      <c r="C29" s="32" t="s">
        <v>63</v>
      </c>
      <c r="D29" s="33" t="s">
        <v>64</v>
      </c>
      <c r="E29" s="34">
        <v>45107</v>
      </c>
      <c r="F29" s="35">
        <f>221.661*G29</f>
        <v>1108.3050000000001</v>
      </c>
      <c r="G29" s="36">
        <v>5</v>
      </c>
      <c r="H29" s="37">
        <f t="shared" si="0"/>
        <v>221.661</v>
      </c>
      <c r="I29" s="35">
        <v>4607.8761999999997</v>
      </c>
      <c r="J29" s="35">
        <v>20539.856090000001</v>
      </c>
      <c r="K29" s="35">
        <f>38.523599+3396.946547</f>
        <v>3435.4701460000001</v>
      </c>
      <c r="L29" s="35">
        <v>2288.247124</v>
      </c>
      <c r="M29" s="35">
        <v>770.78794700000003</v>
      </c>
      <c r="N29" s="37">
        <f t="shared" si="1"/>
        <v>251.157152</v>
      </c>
      <c r="O29" s="35">
        <v>519.63079500000003</v>
      </c>
      <c r="P29" s="38">
        <v>20</v>
      </c>
      <c r="Q29" s="38">
        <v>0</v>
      </c>
      <c r="R29" s="39">
        <f t="shared" si="2"/>
        <v>20</v>
      </c>
      <c r="S29" s="38"/>
      <c r="T29" s="40">
        <v>5395</v>
      </c>
    </row>
    <row r="30" spans="2:20" ht="15.6" x14ac:dyDescent="0.3">
      <c r="B30" s="32">
        <f t="shared" si="3"/>
        <v>9</v>
      </c>
      <c r="C30" s="32" t="s">
        <v>65</v>
      </c>
      <c r="D30" s="33" t="s">
        <v>66</v>
      </c>
      <c r="E30" s="34">
        <v>45107</v>
      </c>
      <c r="F30" s="35">
        <f>21.6875*G30</f>
        <v>216.875</v>
      </c>
      <c r="G30" s="36">
        <v>10</v>
      </c>
      <c r="H30" s="37">
        <f t="shared" si="0"/>
        <v>21.6875</v>
      </c>
      <c r="I30" s="35">
        <v>198.79245599999999</v>
      </c>
      <c r="J30" s="35">
        <v>222.81439</v>
      </c>
      <c r="K30" s="35">
        <v>24.312194999999999</v>
      </c>
      <c r="L30" s="35">
        <v>0</v>
      </c>
      <c r="M30" s="35">
        <v>13.49493</v>
      </c>
      <c r="N30" s="37">
        <f t="shared" si="1"/>
        <v>3.4877400000000005</v>
      </c>
      <c r="O30" s="35">
        <v>10.00719</v>
      </c>
      <c r="P30" s="38">
        <v>0</v>
      </c>
      <c r="Q30" s="38">
        <v>0</v>
      </c>
      <c r="R30" s="39">
        <f t="shared" si="2"/>
        <v>0</v>
      </c>
      <c r="S30" s="38"/>
      <c r="T30" s="40">
        <v>1189</v>
      </c>
    </row>
    <row r="31" spans="2:20" ht="15.6" x14ac:dyDescent="0.3">
      <c r="B31" s="32">
        <f t="shared" si="3"/>
        <v>10</v>
      </c>
      <c r="C31" s="32" t="s">
        <v>67</v>
      </c>
      <c r="D31" s="33" t="s">
        <v>68</v>
      </c>
      <c r="E31" s="34">
        <v>45107</v>
      </c>
      <c r="F31" s="35">
        <f>3*G31</f>
        <v>30</v>
      </c>
      <c r="G31" s="36">
        <v>10</v>
      </c>
      <c r="H31" s="37">
        <f t="shared" si="0"/>
        <v>3</v>
      </c>
      <c r="I31" s="35">
        <v>164.53941399999999</v>
      </c>
      <c r="J31" s="35">
        <v>783.16055100000005</v>
      </c>
      <c r="K31" s="35">
        <v>1668.528532</v>
      </c>
      <c r="L31" s="35">
        <v>20.124130000000001</v>
      </c>
      <c r="M31" s="35">
        <v>74.361224000000007</v>
      </c>
      <c r="N31" s="37">
        <f t="shared" si="1"/>
        <v>77.058880000000002</v>
      </c>
      <c r="O31" s="35">
        <v>-2.6976559999999998</v>
      </c>
      <c r="P31" s="38">
        <v>50</v>
      </c>
      <c r="Q31" s="38">
        <v>0</v>
      </c>
      <c r="R31" s="39">
        <f t="shared" si="2"/>
        <v>50</v>
      </c>
      <c r="S31" s="38"/>
      <c r="T31" s="40">
        <v>366</v>
      </c>
    </row>
    <row r="32" spans="2:20" ht="15.6" x14ac:dyDescent="0.3">
      <c r="B32" s="32">
        <f t="shared" si="3"/>
        <v>11</v>
      </c>
      <c r="C32" s="32" t="s">
        <v>69</v>
      </c>
      <c r="D32" s="45" t="s">
        <v>70</v>
      </c>
      <c r="E32" s="34">
        <v>45107</v>
      </c>
      <c r="F32" s="35"/>
      <c r="G32" s="36">
        <v>10</v>
      </c>
      <c r="H32" s="37">
        <f t="shared" si="0"/>
        <v>0</v>
      </c>
      <c r="I32" s="35"/>
      <c r="J32" s="35"/>
      <c r="K32" s="35"/>
      <c r="L32" s="35"/>
      <c r="M32" s="35"/>
      <c r="N32" s="37">
        <f t="shared" si="1"/>
        <v>0</v>
      </c>
      <c r="O32" s="35"/>
      <c r="P32" s="38"/>
      <c r="Q32" s="38"/>
      <c r="R32" s="39">
        <f t="shared" si="2"/>
        <v>0</v>
      </c>
      <c r="S32" s="38"/>
      <c r="T32" s="40"/>
    </row>
    <row r="33" spans="2:20" ht="15.6" x14ac:dyDescent="0.3">
      <c r="B33" s="32">
        <f t="shared" si="3"/>
        <v>12</v>
      </c>
      <c r="C33" s="32" t="s">
        <v>71</v>
      </c>
      <c r="D33" s="33" t="s">
        <v>72</v>
      </c>
      <c r="E33" s="34">
        <v>45107</v>
      </c>
      <c r="F33" s="35">
        <f>13.788418*G33</f>
        <v>137.88418000000001</v>
      </c>
      <c r="G33" s="36">
        <v>10</v>
      </c>
      <c r="H33" s="37">
        <f t="shared" si="0"/>
        <v>13.788418000000002</v>
      </c>
      <c r="I33" s="35">
        <v>221.45237</v>
      </c>
      <c r="J33" s="35">
        <v>453.824186</v>
      </c>
      <c r="K33" s="35">
        <v>322.41273200000001</v>
      </c>
      <c r="L33" s="35">
        <v>18.391565</v>
      </c>
      <c r="M33" s="35">
        <v>11.788671000000001</v>
      </c>
      <c r="N33" s="37">
        <f t="shared" si="1"/>
        <v>5.2485470000000012</v>
      </c>
      <c r="O33" s="35">
        <v>6.5401239999999996</v>
      </c>
      <c r="P33" s="38">
        <v>0</v>
      </c>
      <c r="Q33" s="38">
        <v>0</v>
      </c>
      <c r="R33" s="39">
        <f t="shared" si="2"/>
        <v>0</v>
      </c>
      <c r="S33" s="38"/>
      <c r="T33" s="40">
        <v>1248</v>
      </c>
    </row>
    <row r="34" spans="2:20" ht="15.6" x14ac:dyDescent="0.3">
      <c r="B34" s="32">
        <f t="shared" si="3"/>
        <v>13</v>
      </c>
      <c r="C34" s="32" t="s">
        <v>73</v>
      </c>
      <c r="D34" s="33" t="s">
        <v>74</v>
      </c>
      <c r="E34" s="34">
        <v>45107</v>
      </c>
      <c r="F34" s="35">
        <f>883.590287*G34</f>
        <v>8835.9028699999999</v>
      </c>
      <c r="G34" s="36">
        <v>10</v>
      </c>
      <c r="H34" s="37">
        <f>+F34/G34</f>
        <v>883.59028699999999</v>
      </c>
      <c r="I34" s="35">
        <v>2993.8490000000002</v>
      </c>
      <c r="J34" s="35">
        <v>3705.7559999999999</v>
      </c>
      <c r="K34" s="35">
        <v>3911.4229999999998</v>
      </c>
      <c r="L34" s="35">
        <v>3.875</v>
      </c>
      <c r="M34" s="35">
        <v>201.565</v>
      </c>
      <c r="N34" s="37">
        <f t="shared" si="1"/>
        <v>327.95299999999997</v>
      </c>
      <c r="O34" s="35">
        <v>-126.38800000000001</v>
      </c>
      <c r="P34" s="38">
        <v>0</v>
      </c>
      <c r="Q34" s="38">
        <v>0</v>
      </c>
      <c r="R34" s="39">
        <f>SUM(P34:Q34)</f>
        <v>0</v>
      </c>
      <c r="S34" s="38"/>
      <c r="T34" s="40">
        <v>320</v>
      </c>
    </row>
    <row r="35" spans="2:20" ht="15.6" x14ac:dyDescent="0.3">
      <c r="B35" s="32">
        <f t="shared" si="3"/>
        <v>14</v>
      </c>
      <c r="C35" s="32" t="s">
        <v>75</v>
      </c>
      <c r="D35" s="33" t="s">
        <v>76</v>
      </c>
      <c r="E35" s="34">
        <v>45107</v>
      </c>
      <c r="F35" s="35">
        <f>21.163104*G35</f>
        <v>211.63104000000001</v>
      </c>
      <c r="G35" s="36">
        <v>10</v>
      </c>
      <c r="H35" s="37">
        <f t="shared" si="0"/>
        <v>21.163104000000001</v>
      </c>
      <c r="I35" s="35">
        <v>536.05064900000002</v>
      </c>
      <c r="J35" s="35">
        <v>559.13139899999999</v>
      </c>
      <c r="K35" s="35">
        <v>42.598683000000001</v>
      </c>
      <c r="L35" s="35">
        <v>2.1220000000000002E-3</v>
      </c>
      <c r="M35" s="35">
        <v>356.41885000000002</v>
      </c>
      <c r="N35" s="37">
        <f t="shared" si="1"/>
        <v>2.2497000000000185</v>
      </c>
      <c r="O35" s="35">
        <v>354.16915</v>
      </c>
      <c r="P35" s="38">
        <v>40</v>
      </c>
      <c r="Q35" s="38">
        <v>0</v>
      </c>
      <c r="R35" s="39">
        <f t="shared" si="2"/>
        <v>40</v>
      </c>
      <c r="S35" s="38"/>
      <c r="T35" s="40">
        <v>2536</v>
      </c>
    </row>
    <row r="36" spans="2:20" ht="15.6" x14ac:dyDescent="0.3">
      <c r="B36" s="32">
        <f t="shared" si="3"/>
        <v>15</v>
      </c>
      <c r="C36" s="32" t="s">
        <v>77</v>
      </c>
      <c r="D36" s="33" t="s">
        <v>78</v>
      </c>
      <c r="E36" s="34">
        <v>45107</v>
      </c>
      <c r="F36" s="35">
        <v>351.20548000000002</v>
      </c>
      <c r="G36" s="36">
        <v>10</v>
      </c>
      <c r="H36" s="37">
        <f t="shared" si="0"/>
        <v>35.120547999999999</v>
      </c>
      <c r="I36" s="35">
        <v>542.50921400000004</v>
      </c>
      <c r="J36" s="35">
        <v>537.33054500000003</v>
      </c>
      <c r="K36" s="35">
        <v>61.879221000000001</v>
      </c>
      <c r="L36" s="35">
        <v>0.36386099999999999</v>
      </c>
      <c r="M36" s="35">
        <v>2.3967170000000002</v>
      </c>
      <c r="N36" s="37">
        <f t="shared" si="1"/>
        <v>4.6879050000000007</v>
      </c>
      <c r="O36" s="35">
        <v>-2.291188</v>
      </c>
      <c r="P36" s="38">
        <v>0</v>
      </c>
      <c r="Q36" s="38">
        <v>0</v>
      </c>
      <c r="R36" s="39">
        <f t="shared" si="2"/>
        <v>0</v>
      </c>
      <c r="S36" s="38"/>
      <c r="T36" s="40">
        <v>3375</v>
      </c>
    </row>
    <row r="37" spans="2:20" ht="15.6" x14ac:dyDescent="0.3">
      <c r="B37" s="32">
        <f t="shared" si="3"/>
        <v>16</v>
      </c>
      <c r="C37" s="32" t="s">
        <v>79</v>
      </c>
      <c r="D37" s="33" t="s">
        <v>80</v>
      </c>
      <c r="E37" s="34">
        <v>45107</v>
      </c>
      <c r="F37" s="35">
        <v>794.23945000000003</v>
      </c>
      <c r="G37" s="36">
        <v>10</v>
      </c>
      <c r="H37" s="37">
        <f t="shared" si="0"/>
        <v>79.423945000000003</v>
      </c>
      <c r="I37" s="35">
        <v>1115.2315630000001</v>
      </c>
      <c r="J37" s="35">
        <v>1467.962839</v>
      </c>
      <c r="K37" s="35">
        <v>11.671875999999999</v>
      </c>
      <c r="L37" s="35">
        <v>0</v>
      </c>
      <c r="M37" s="35">
        <f>34.405687-13.09816</f>
        <v>21.307527</v>
      </c>
      <c r="N37" s="37">
        <f t="shared" si="1"/>
        <v>24.975527</v>
      </c>
      <c r="O37" s="35">
        <v>-3.6680000000000001</v>
      </c>
      <c r="P37" s="38">
        <v>0</v>
      </c>
      <c r="Q37" s="38">
        <v>0</v>
      </c>
      <c r="R37" s="39">
        <f t="shared" si="2"/>
        <v>0</v>
      </c>
      <c r="S37" s="38">
        <v>14.34</v>
      </c>
      <c r="T37" s="40">
        <v>3890</v>
      </c>
    </row>
    <row r="38" spans="2:20" ht="15.6" x14ac:dyDescent="0.3">
      <c r="B38" s="32">
        <f t="shared" si="3"/>
        <v>17</v>
      </c>
      <c r="C38" s="32" t="s">
        <v>81</v>
      </c>
      <c r="D38" s="45" t="s">
        <v>82</v>
      </c>
      <c r="E38" s="34">
        <v>45107</v>
      </c>
      <c r="F38" s="35">
        <f>129.391676*G38</f>
        <v>1293.9167599999998</v>
      </c>
      <c r="G38" s="36">
        <v>10</v>
      </c>
      <c r="H38" s="37">
        <f t="shared" si="0"/>
        <v>129.39167599999999</v>
      </c>
      <c r="I38" s="35">
        <v>731.21778900000004</v>
      </c>
      <c r="J38" s="35">
        <v>1008.170695</v>
      </c>
      <c r="K38" s="35">
        <v>223.816788</v>
      </c>
      <c r="L38" s="35">
        <v>31.769985999999999</v>
      </c>
      <c r="M38" s="35">
        <v>96.290137999999999</v>
      </c>
      <c r="N38" s="37">
        <f t="shared" si="1"/>
        <v>-2.2553479999999979</v>
      </c>
      <c r="O38" s="35">
        <v>98.545485999999997</v>
      </c>
      <c r="P38" s="38">
        <v>3</v>
      </c>
      <c r="Q38" s="38">
        <v>0</v>
      </c>
      <c r="R38" s="39">
        <f t="shared" si="2"/>
        <v>3</v>
      </c>
      <c r="S38" s="38"/>
      <c r="T38" s="40">
        <v>15780</v>
      </c>
    </row>
    <row r="39" spans="2:20" ht="15.6" x14ac:dyDescent="0.3">
      <c r="B39" s="32">
        <f t="shared" si="3"/>
        <v>18</v>
      </c>
      <c r="C39" s="32" t="s">
        <v>83</v>
      </c>
      <c r="D39" s="45" t="s">
        <v>84</v>
      </c>
      <c r="E39" s="34">
        <v>45107</v>
      </c>
      <c r="F39" s="35">
        <f>14*G39</f>
        <v>140</v>
      </c>
      <c r="G39" s="36">
        <v>10</v>
      </c>
      <c r="H39" s="37">
        <f>+F39/G39</f>
        <v>14</v>
      </c>
      <c r="I39" s="35">
        <v>135.315483</v>
      </c>
      <c r="J39" s="35">
        <v>168.62899999999999</v>
      </c>
      <c r="K39" s="35">
        <v>27.721388999999999</v>
      </c>
      <c r="L39" s="35">
        <v>0</v>
      </c>
      <c r="M39" s="35">
        <v>10.374045000000001</v>
      </c>
      <c r="N39" s="37">
        <f t="shared" si="1"/>
        <v>2.3994790000000004</v>
      </c>
      <c r="O39" s="35">
        <v>7.9745660000000003</v>
      </c>
      <c r="P39" s="35">
        <v>4.5570000000000004</v>
      </c>
      <c r="Q39" s="38">
        <v>0</v>
      </c>
      <c r="R39" s="39">
        <f>SUM(P39:Q39)</f>
        <v>4.5570000000000004</v>
      </c>
      <c r="S39" s="38"/>
      <c r="T39" s="40">
        <v>1006</v>
      </c>
    </row>
    <row r="40" spans="2:20" ht="15.6" x14ac:dyDescent="0.3">
      <c r="B40" s="32">
        <f t="shared" si="3"/>
        <v>19</v>
      </c>
      <c r="C40" s="32" t="s">
        <v>85</v>
      </c>
      <c r="D40" s="45" t="s">
        <v>86</v>
      </c>
      <c r="E40" s="34">
        <v>45107</v>
      </c>
      <c r="F40" s="35">
        <v>750</v>
      </c>
      <c r="G40" s="36">
        <v>10</v>
      </c>
      <c r="H40" s="37">
        <f>+F40/G40</f>
        <v>75</v>
      </c>
      <c r="I40" s="35">
        <v>1253.2536580000001</v>
      </c>
      <c r="J40" s="35">
        <v>2184.4145800000001</v>
      </c>
      <c r="K40" s="35">
        <v>1761.80224</v>
      </c>
      <c r="L40" s="35">
        <v>92.216076000000001</v>
      </c>
      <c r="M40" s="35">
        <v>288.271185</v>
      </c>
      <c r="N40" s="37">
        <f t="shared" si="1"/>
        <v>100.76963699999999</v>
      </c>
      <c r="O40" s="35">
        <v>187.50154800000001</v>
      </c>
      <c r="P40" s="38">
        <v>10</v>
      </c>
      <c r="Q40" s="38">
        <v>0</v>
      </c>
      <c r="R40" s="39">
        <f>SUM(P40:Q40)</f>
        <v>10</v>
      </c>
      <c r="S40" s="38"/>
      <c r="T40" s="40">
        <v>667</v>
      </c>
    </row>
    <row r="41" spans="2:20" ht="15.6" x14ac:dyDescent="0.3">
      <c r="B41" s="32">
        <f t="shared" si="3"/>
        <v>20</v>
      </c>
      <c r="C41" s="32" t="s">
        <v>87</v>
      </c>
      <c r="D41" s="33" t="s">
        <v>88</v>
      </c>
      <c r="E41" s="34">
        <v>45107</v>
      </c>
      <c r="F41" s="35">
        <f>45.38353*G41</f>
        <v>453.83530000000002</v>
      </c>
      <c r="G41" s="36">
        <v>10</v>
      </c>
      <c r="H41" s="37">
        <f t="shared" si="0"/>
        <v>45.38353</v>
      </c>
      <c r="I41" s="35">
        <v>1176.622572</v>
      </c>
      <c r="J41" s="35">
        <v>6824.5794820000001</v>
      </c>
      <c r="K41" s="35">
        <v>1896.844951</v>
      </c>
      <c r="L41" s="35">
        <v>825.51759700000002</v>
      </c>
      <c r="M41" s="35">
        <v>186.43375399999999</v>
      </c>
      <c r="N41" s="37">
        <f t="shared" si="1"/>
        <v>57.649343999999985</v>
      </c>
      <c r="O41" s="35">
        <v>128.78441000000001</v>
      </c>
      <c r="P41" s="38">
        <v>20</v>
      </c>
      <c r="Q41" s="38">
        <v>0</v>
      </c>
      <c r="R41" s="39">
        <f t="shared" si="2"/>
        <v>20</v>
      </c>
      <c r="S41" s="38"/>
      <c r="T41" s="40">
        <v>8360</v>
      </c>
    </row>
    <row r="42" spans="2:20" ht="15.6" x14ac:dyDescent="0.3">
      <c r="B42" s="32">
        <f t="shared" si="3"/>
        <v>21</v>
      </c>
      <c r="C42" s="32" t="s">
        <v>89</v>
      </c>
      <c r="D42" s="33" t="s">
        <v>90</v>
      </c>
      <c r="E42" s="34">
        <v>45107</v>
      </c>
      <c r="F42" s="35">
        <f>45*G42</f>
        <v>450</v>
      </c>
      <c r="G42" s="36">
        <v>10</v>
      </c>
      <c r="H42" s="37">
        <f t="shared" si="0"/>
        <v>45</v>
      </c>
      <c r="I42" s="35">
        <v>1722.3672120000001</v>
      </c>
      <c r="J42" s="35">
        <v>1778.2334920000001</v>
      </c>
      <c r="K42" s="35">
        <v>279.66480899999999</v>
      </c>
      <c r="L42" s="35">
        <v>0</v>
      </c>
      <c r="M42" s="35">
        <v>194.57506699999999</v>
      </c>
      <c r="N42" s="37">
        <f t="shared" si="1"/>
        <v>64.164206999999976</v>
      </c>
      <c r="O42" s="35">
        <v>130.41086000000001</v>
      </c>
      <c r="P42" s="38">
        <v>12.5</v>
      </c>
      <c r="Q42" s="38">
        <v>0</v>
      </c>
      <c r="R42" s="39">
        <f t="shared" si="2"/>
        <v>12.5</v>
      </c>
      <c r="S42" s="38"/>
      <c r="T42" s="40">
        <v>877</v>
      </c>
    </row>
    <row r="43" spans="2:20" ht="15.6" x14ac:dyDescent="0.3">
      <c r="B43" s="32">
        <f t="shared" si="3"/>
        <v>22</v>
      </c>
      <c r="C43" s="32" t="s">
        <v>91</v>
      </c>
      <c r="D43" s="33" t="s">
        <v>92</v>
      </c>
      <c r="E43" s="34">
        <v>45107</v>
      </c>
      <c r="F43" s="35">
        <v>298</v>
      </c>
      <c r="G43" s="36">
        <v>10</v>
      </c>
      <c r="H43" s="37">
        <f t="shared" si="0"/>
        <v>29.8</v>
      </c>
      <c r="I43" s="35">
        <v>320.004997</v>
      </c>
      <c r="J43" s="35">
        <v>388.75707699999998</v>
      </c>
      <c r="K43" s="35">
        <v>41.171301</v>
      </c>
      <c r="L43" s="35">
        <v>0</v>
      </c>
      <c r="M43" s="35">
        <v>1.0138290000000001</v>
      </c>
      <c r="N43" s="37">
        <f t="shared" si="1"/>
        <v>1.0869340000000001</v>
      </c>
      <c r="O43" s="35">
        <v>-7.3105000000000003E-2</v>
      </c>
      <c r="P43" s="38">
        <v>0</v>
      </c>
      <c r="Q43" s="38">
        <v>0</v>
      </c>
      <c r="R43" s="39">
        <f t="shared" si="2"/>
        <v>0</v>
      </c>
      <c r="S43" s="38"/>
      <c r="T43" s="40">
        <v>2544</v>
      </c>
    </row>
    <row r="44" spans="2:20" ht="15.6" x14ac:dyDescent="0.3">
      <c r="B44" s="32">
        <f t="shared" si="3"/>
        <v>23</v>
      </c>
      <c r="C44" s="32" t="s">
        <v>93</v>
      </c>
      <c r="D44" s="33" t="s">
        <v>94</v>
      </c>
      <c r="E44" s="34">
        <v>45107</v>
      </c>
      <c r="F44" s="35">
        <v>236.4</v>
      </c>
      <c r="G44" s="36">
        <v>10</v>
      </c>
      <c r="H44" s="37">
        <f>+F44/G44</f>
        <v>23.64</v>
      </c>
      <c r="I44" s="35">
        <v>53.927418000000003</v>
      </c>
      <c r="J44" s="35">
        <v>59.885095999999997</v>
      </c>
      <c r="K44" s="35">
        <v>1.3943300000000001</v>
      </c>
      <c r="L44" s="35">
        <v>0</v>
      </c>
      <c r="M44" s="35">
        <v>-0.62213399999999996</v>
      </c>
      <c r="N44" s="37">
        <f t="shared" si="1"/>
        <v>0</v>
      </c>
      <c r="O44" s="35">
        <v>-0.62213399999999996</v>
      </c>
      <c r="P44" s="38">
        <v>0</v>
      </c>
      <c r="Q44" s="38">
        <v>0</v>
      </c>
      <c r="R44" s="39">
        <f>SUM(P44:Q44)</f>
        <v>0</v>
      </c>
      <c r="S44" s="38"/>
      <c r="T44" s="40"/>
    </row>
    <row r="45" spans="2:20" ht="15.6" x14ac:dyDescent="0.3">
      <c r="B45" s="27"/>
      <c r="C45" s="27"/>
      <c r="D45" s="27"/>
      <c r="E45" s="27"/>
      <c r="F45" s="27"/>
      <c r="G45" s="42"/>
      <c r="H45" s="43"/>
      <c r="I45" s="29"/>
      <c r="J45" s="29"/>
      <c r="K45" s="29"/>
      <c r="L45" s="29"/>
      <c r="M45" s="29"/>
      <c r="N45" s="44"/>
      <c r="O45" s="29"/>
      <c r="P45" s="29"/>
      <c r="Q45" s="29"/>
      <c r="R45" s="44"/>
      <c r="S45" s="29"/>
      <c r="T45" s="29"/>
    </row>
    <row r="46" spans="2:20" ht="18" x14ac:dyDescent="0.35">
      <c r="B46" s="27"/>
      <c r="C46" s="27"/>
      <c r="D46" s="41" t="s">
        <v>43</v>
      </c>
      <c r="E46" s="27"/>
      <c r="F46" s="27"/>
      <c r="G46" s="42"/>
      <c r="H46" s="43"/>
      <c r="I46" s="29"/>
      <c r="J46" s="29"/>
      <c r="K46" s="29"/>
      <c r="L46" s="29"/>
      <c r="M46" s="29"/>
      <c r="N46" s="44"/>
      <c r="O46" s="29"/>
      <c r="P46" s="29"/>
      <c r="Q46" s="29"/>
      <c r="R46" s="44"/>
      <c r="S46" s="29"/>
      <c r="T46" s="29"/>
    </row>
    <row r="47" spans="2:20" ht="15.6" x14ac:dyDescent="0.3">
      <c r="B47" s="32">
        <v>1</v>
      </c>
      <c r="C47" s="32" t="s">
        <v>95</v>
      </c>
      <c r="D47" s="33" t="s">
        <v>96</v>
      </c>
      <c r="E47" s="34">
        <v>45107</v>
      </c>
      <c r="F47" s="35"/>
      <c r="G47" s="36">
        <v>10</v>
      </c>
      <c r="H47" s="37">
        <f>+F47/G47</f>
        <v>0</v>
      </c>
      <c r="I47" s="35"/>
      <c r="J47" s="35"/>
      <c r="K47" s="35"/>
      <c r="L47" s="35"/>
      <c r="M47" s="35"/>
      <c r="N47" s="37">
        <f>+M47-O47</f>
        <v>0</v>
      </c>
      <c r="O47" s="35"/>
      <c r="P47" s="38"/>
      <c r="Q47" s="38"/>
      <c r="R47" s="39">
        <f>SUM(P47:Q47)</f>
        <v>0</v>
      </c>
      <c r="S47" s="38"/>
      <c r="T47" s="40"/>
    </row>
    <row r="48" spans="2:20" ht="15.6" x14ac:dyDescent="0.3">
      <c r="B48" s="32">
        <f>+B47+1</f>
        <v>2</v>
      </c>
      <c r="C48" s="32" t="s">
        <v>97</v>
      </c>
      <c r="D48" s="33" t="s">
        <v>98</v>
      </c>
      <c r="E48" s="34">
        <v>45107</v>
      </c>
      <c r="F48" s="35">
        <f>25*G48</f>
        <v>250</v>
      </c>
      <c r="G48" s="36">
        <v>10</v>
      </c>
      <c r="H48" s="37">
        <f>+F48/G48</f>
        <v>25</v>
      </c>
      <c r="I48" s="35">
        <v>-55.578783000000001</v>
      </c>
      <c r="J48" s="35">
        <v>305.95155599999998</v>
      </c>
      <c r="K48" s="35">
        <v>29.128425</v>
      </c>
      <c r="L48" s="35">
        <v>39.170012</v>
      </c>
      <c r="M48" s="35">
        <v>4.9404060000000003</v>
      </c>
      <c r="N48" s="37">
        <f>+M48-O48</f>
        <v>0.8398690000000002</v>
      </c>
      <c r="O48" s="35">
        <v>4.1005370000000001</v>
      </c>
      <c r="P48" s="38">
        <v>0</v>
      </c>
      <c r="Q48" s="38">
        <v>0</v>
      </c>
      <c r="R48" s="39">
        <f>SUM(P48:Q48)</f>
        <v>0</v>
      </c>
      <c r="S48" s="38"/>
      <c r="T48" s="40">
        <v>1049</v>
      </c>
    </row>
    <row r="49" spans="2:20" ht="15.6" x14ac:dyDescent="0.3">
      <c r="B49" s="27"/>
      <c r="C49" s="27"/>
      <c r="D49" s="27"/>
      <c r="E49" s="27"/>
      <c r="F49" s="27"/>
      <c r="G49" s="42"/>
      <c r="H49" s="43"/>
      <c r="I49" s="29"/>
      <c r="J49" s="29"/>
      <c r="K49" s="29"/>
      <c r="L49" s="29"/>
      <c r="M49" s="29"/>
      <c r="N49" s="44"/>
      <c r="O49" s="29"/>
      <c r="P49" s="29"/>
      <c r="Q49" s="29"/>
      <c r="R49" s="44"/>
      <c r="S49" s="29"/>
      <c r="T49" s="29"/>
    </row>
    <row r="50" spans="2:20" s="54" customFormat="1" ht="15.6" x14ac:dyDescent="0.3">
      <c r="B50" s="46">
        <f>COUNT(B22:B49)</f>
        <v>25</v>
      </c>
      <c r="C50" s="46"/>
      <c r="D50" s="47"/>
      <c r="E50" s="47"/>
      <c r="F50" s="47">
        <f>SUM(F22:F49)</f>
        <v>18966.2847</v>
      </c>
      <c r="G50" s="48"/>
      <c r="H50" s="49">
        <f>SUM(H22:H49)</f>
        <v>2007.4589699999999</v>
      </c>
      <c r="I50" s="47">
        <f>SUM(I22:I49)</f>
        <v>22273.118463999999</v>
      </c>
      <c r="J50" s="47">
        <f>SUM(J22:J49)</f>
        <v>51051.087039999999</v>
      </c>
      <c r="K50" s="47">
        <f>SUM(K22:K49)</f>
        <v>18950.120012999996</v>
      </c>
      <c r="L50" s="47">
        <f>SUM(L22:L49)</f>
        <v>3514.4311079999998</v>
      </c>
      <c r="M50" s="47">
        <f>SUM(M22:M49)</f>
        <v>3171.2579190000006</v>
      </c>
      <c r="N50" s="50">
        <f>SUM(N22:N49)</f>
        <v>1595.2256730000001</v>
      </c>
      <c r="O50" s="47">
        <f>SUM(O22:O49)</f>
        <v>1576.032246</v>
      </c>
      <c r="P50" s="51"/>
      <c r="Q50" s="51"/>
      <c r="R50" s="52"/>
      <c r="S50" s="51"/>
      <c r="T50" s="53">
        <f>SUM(T22:T49)</f>
        <v>67012</v>
      </c>
    </row>
    <row r="51" spans="2:20" ht="15.6" x14ac:dyDescent="0.3">
      <c r="B51" s="27"/>
      <c r="C51" s="27"/>
      <c r="D51" s="27"/>
      <c r="E51" s="27"/>
      <c r="F51" s="27"/>
      <c r="G51" s="42"/>
      <c r="H51" s="43"/>
      <c r="I51" s="29"/>
      <c r="J51" s="29"/>
      <c r="K51" s="29"/>
      <c r="L51" s="29"/>
      <c r="M51" s="29"/>
      <c r="N51" s="44"/>
      <c r="O51" s="29"/>
      <c r="P51" s="29"/>
      <c r="Q51" s="29"/>
      <c r="R51" s="44"/>
      <c r="S51" s="29"/>
      <c r="T51" s="29"/>
    </row>
    <row r="52" spans="2:20" ht="15.6" x14ac:dyDescent="0.3">
      <c r="B52" s="27"/>
      <c r="C52" s="27"/>
      <c r="D52" s="27"/>
      <c r="E52" s="27"/>
      <c r="F52" s="27"/>
      <c r="G52" s="42"/>
      <c r="H52" s="43"/>
      <c r="I52" s="29"/>
      <c r="J52" s="29"/>
      <c r="K52" s="29"/>
      <c r="L52" s="29"/>
      <c r="M52" s="29"/>
      <c r="N52" s="44"/>
      <c r="O52" s="29"/>
      <c r="P52" s="29"/>
      <c r="Q52" s="29"/>
      <c r="R52" s="44"/>
      <c r="S52" s="29"/>
      <c r="T52" s="29"/>
    </row>
    <row r="53" spans="2:20" ht="18" x14ac:dyDescent="0.35">
      <c r="B53" s="27"/>
      <c r="C53" s="31">
        <v>3</v>
      </c>
      <c r="D53" s="31" t="s">
        <v>99</v>
      </c>
      <c r="E53" s="27"/>
      <c r="F53" s="27"/>
      <c r="G53" s="42"/>
      <c r="H53" s="43"/>
      <c r="I53" s="29"/>
      <c r="J53" s="29"/>
      <c r="K53" s="29"/>
      <c r="L53" s="29"/>
      <c r="M53" s="29"/>
      <c r="N53" s="44"/>
      <c r="O53" s="29"/>
      <c r="P53" s="29"/>
      <c r="Q53" s="29"/>
      <c r="R53" s="44"/>
      <c r="S53" s="29"/>
      <c r="T53" s="29"/>
    </row>
    <row r="54" spans="2:20" ht="15.6" x14ac:dyDescent="0.3">
      <c r="B54" s="27"/>
      <c r="C54" s="27"/>
      <c r="D54" s="27"/>
      <c r="E54" s="27"/>
      <c r="F54" s="27"/>
      <c r="G54" s="42"/>
      <c r="H54" s="43"/>
      <c r="I54" s="29"/>
      <c r="J54" s="29"/>
      <c r="K54" s="29"/>
      <c r="L54" s="29"/>
      <c r="M54" s="29"/>
      <c r="N54" s="44"/>
      <c r="O54" s="29"/>
      <c r="P54" s="29"/>
      <c r="Q54" s="29"/>
      <c r="R54" s="44"/>
      <c r="S54" s="29"/>
      <c r="T54" s="29"/>
    </row>
    <row r="55" spans="2:20" ht="15.6" x14ac:dyDescent="0.3">
      <c r="B55" s="32">
        <v>1</v>
      </c>
      <c r="C55" s="32" t="s">
        <v>100</v>
      </c>
      <c r="D55" s="33" t="s">
        <v>101</v>
      </c>
      <c r="E55" s="34">
        <v>45107</v>
      </c>
      <c r="F55" s="35">
        <f>21.5*G55</f>
        <v>215</v>
      </c>
      <c r="G55" s="36">
        <v>10</v>
      </c>
      <c r="H55" s="37">
        <f t="shared" ref="H55:H57" si="4">+F55/G55</f>
        <v>21.5</v>
      </c>
      <c r="I55" s="35">
        <v>63.101987999999999</v>
      </c>
      <c r="J55" s="35">
        <v>286.10091499999999</v>
      </c>
      <c r="K55" s="35">
        <v>21.117083999999998</v>
      </c>
      <c r="L55" s="35">
        <v>0.25544899999999998</v>
      </c>
      <c r="M55" s="35">
        <v>7.0413019999999999</v>
      </c>
      <c r="N55" s="37">
        <f>+M55-O55</f>
        <v>1.120133</v>
      </c>
      <c r="O55" s="35">
        <v>5.9211689999999999</v>
      </c>
      <c r="P55" s="38">
        <v>0</v>
      </c>
      <c r="Q55" s="38">
        <v>0</v>
      </c>
      <c r="R55" s="39">
        <f t="shared" ref="R55" si="5">SUM(P55:Q55)</f>
        <v>0</v>
      </c>
      <c r="S55" s="38"/>
      <c r="T55" s="40">
        <v>405</v>
      </c>
    </row>
    <row r="56" spans="2:20" ht="15.6" x14ac:dyDescent="0.3">
      <c r="B56" s="32">
        <f>+B55+1</f>
        <v>2</v>
      </c>
      <c r="C56" s="32" t="s">
        <v>102</v>
      </c>
      <c r="D56" s="33" t="s">
        <v>103</v>
      </c>
      <c r="E56" s="34">
        <v>45107</v>
      </c>
      <c r="F56" s="35">
        <f>49.47111*G56</f>
        <v>494.71110000000004</v>
      </c>
      <c r="G56" s="36">
        <v>10</v>
      </c>
      <c r="H56" s="37">
        <f t="shared" si="4"/>
        <v>49.471110000000003</v>
      </c>
      <c r="I56" s="35">
        <v>829.533682</v>
      </c>
      <c r="J56" s="35">
        <v>2528.848579</v>
      </c>
      <c r="K56" s="35">
        <f>227.292442+22.454916+12.455043</f>
        <v>262.20240100000001</v>
      </c>
      <c r="L56" s="35">
        <v>89.848799999999997</v>
      </c>
      <c r="M56" s="35">
        <v>78.816890999999998</v>
      </c>
      <c r="N56" s="37">
        <f>+M56-O56</f>
        <v>22.181204000000001</v>
      </c>
      <c r="O56" s="35">
        <v>56.635686999999997</v>
      </c>
      <c r="P56" s="38">
        <f>35</f>
        <v>35</v>
      </c>
      <c r="Q56" s="38">
        <v>95</v>
      </c>
      <c r="R56" s="39">
        <f t="shared" ref="R56" si="6">SUM(P56:Q56)</f>
        <v>130</v>
      </c>
      <c r="S56" s="38"/>
      <c r="T56" s="40">
        <v>288</v>
      </c>
    </row>
    <row r="57" spans="2:20" ht="15.6" x14ac:dyDescent="0.3">
      <c r="B57" s="32">
        <f t="shared" ref="B57" si="7">+B56+1</f>
        <v>3</v>
      </c>
      <c r="C57" s="32" t="s">
        <v>104</v>
      </c>
      <c r="D57" s="33" t="s">
        <v>105</v>
      </c>
      <c r="E57" s="34">
        <v>45291</v>
      </c>
      <c r="F57" s="35"/>
      <c r="G57" s="36">
        <v>10</v>
      </c>
      <c r="H57" s="37">
        <f t="shared" si="4"/>
        <v>0</v>
      </c>
      <c r="I57" s="35"/>
      <c r="J57" s="35"/>
      <c r="K57" s="35"/>
      <c r="L57" s="35"/>
      <c r="M57" s="35"/>
      <c r="N57" s="37">
        <f>+M57-O57</f>
        <v>0</v>
      </c>
      <c r="O57" s="35"/>
      <c r="P57" s="38"/>
      <c r="Q57" s="38"/>
      <c r="R57" s="39">
        <f t="shared" ref="R57" si="8">SUM(P57:Q57)</f>
        <v>0</v>
      </c>
      <c r="S57" s="38"/>
      <c r="T57" s="40"/>
    </row>
    <row r="58" spans="2:20" ht="15.6" x14ac:dyDescent="0.3">
      <c r="B58" s="27"/>
      <c r="C58" s="27"/>
      <c r="D58" s="27"/>
      <c r="E58" s="27"/>
      <c r="F58" s="27"/>
      <c r="G58" s="42"/>
      <c r="H58" s="43"/>
      <c r="I58" s="29"/>
      <c r="J58" s="29"/>
      <c r="K58" s="29"/>
      <c r="L58" s="29"/>
      <c r="M58" s="29"/>
      <c r="N58" s="44"/>
      <c r="O58" s="29"/>
      <c r="P58" s="29"/>
      <c r="Q58" s="29"/>
      <c r="R58" s="44"/>
      <c r="S58" s="29"/>
      <c r="T58" s="29"/>
    </row>
    <row r="59" spans="2:20" ht="18" x14ac:dyDescent="0.35">
      <c r="B59" s="27"/>
      <c r="C59" s="27"/>
      <c r="D59" s="55" t="s">
        <v>43</v>
      </c>
      <c r="E59" s="27"/>
      <c r="F59" s="27"/>
      <c r="G59" s="42"/>
      <c r="H59" s="43"/>
      <c r="I59" s="29"/>
      <c r="J59" s="29"/>
      <c r="K59" s="29"/>
      <c r="L59" s="29"/>
      <c r="M59" s="29"/>
      <c r="N59" s="44"/>
      <c r="O59" s="29"/>
      <c r="P59" s="29"/>
      <c r="Q59" s="29"/>
      <c r="R59" s="44"/>
      <c r="S59" s="29"/>
      <c r="T59" s="29"/>
    </row>
    <row r="60" spans="2:20" ht="15.6" x14ac:dyDescent="0.3">
      <c r="B60" s="32">
        <v>1</v>
      </c>
      <c r="C60" s="32" t="s">
        <v>106</v>
      </c>
      <c r="D60" s="33" t="s">
        <v>107</v>
      </c>
      <c r="E60" s="34">
        <v>45107</v>
      </c>
      <c r="F60" s="35"/>
      <c r="G60" s="36">
        <v>10</v>
      </c>
      <c r="H60" s="37">
        <f>+F60/G60</f>
        <v>0</v>
      </c>
      <c r="I60" s="35"/>
      <c r="J60" s="35"/>
      <c r="K60" s="35"/>
      <c r="L60" s="35"/>
      <c r="M60" s="35"/>
      <c r="N60" s="37">
        <f>+M60-O60</f>
        <v>0</v>
      </c>
      <c r="O60" s="35"/>
      <c r="P60" s="38"/>
      <c r="Q60" s="38"/>
      <c r="R60" s="39">
        <f>SUM(P60:Q60)</f>
        <v>0</v>
      </c>
      <c r="S60" s="38"/>
      <c r="T60" s="40"/>
    </row>
    <row r="61" spans="2:20" ht="15.6" x14ac:dyDescent="0.3">
      <c r="B61" s="32">
        <f>+B60+1</f>
        <v>2</v>
      </c>
      <c r="C61" s="32" t="s">
        <v>108</v>
      </c>
      <c r="D61" s="33" t="s">
        <v>109</v>
      </c>
      <c r="E61" s="34">
        <v>45107</v>
      </c>
      <c r="F61" s="35"/>
      <c r="G61" s="36">
        <v>10</v>
      </c>
      <c r="H61" s="37">
        <f>+F61/G61</f>
        <v>0</v>
      </c>
      <c r="I61" s="35"/>
      <c r="J61" s="35"/>
      <c r="K61" s="35"/>
      <c r="L61" s="35"/>
      <c r="M61" s="35"/>
      <c r="N61" s="37">
        <f>+M61-O61</f>
        <v>0</v>
      </c>
      <c r="O61" s="35"/>
      <c r="P61" s="38"/>
      <c r="Q61" s="38"/>
      <c r="R61" s="39">
        <f>SUM(P61:Q61)</f>
        <v>0</v>
      </c>
      <c r="S61" s="38"/>
      <c r="T61" s="40"/>
    </row>
    <row r="62" spans="2:20" ht="15.6" x14ac:dyDescent="0.3">
      <c r="B62" s="32">
        <f t="shared" ref="B62:B63" si="9">+B61+1</f>
        <v>3</v>
      </c>
      <c r="C62" s="32" t="s">
        <v>110</v>
      </c>
      <c r="D62" s="33" t="s">
        <v>111</v>
      </c>
      <c r="E62" s="34">
        <v>45107</v>
      </c>
      <c r="F62" s="35">
        <f>36.3*G62</f>
        <v>363</v>
      </c>
      <c r="G62" s="36">
        <v>10</v>
      </c>
      <c r="H62" s="37">
        <f>+F62/G62</f>
        <v>36.299999999999997</v>
      </c>
      <c r="I62" s="35">
        <v>29.920926999999999</v>
      </c>
      <c r="J62" s="35">
        <v>551.48515399999997</v>
      </c>
      <c r="K62" s="35">
        <v>15.561121</v>
      </c>
      <c r="L62" s="35">
        <v>4.3369999999999997E-3</v>
      </c>
      <c r="M62" s="35">
        <v>-20.845435999999999</v>
      </c>
      <c r="N62" s="37">
        <f>+M62-O62</f>
        <v>0.19415100000000152</v>
      </c>
      <c r="O62" s="35">
        <v>-21.039587000000001</v>
      </c>
      <c r="P62" s="38">
        <v>0</v>
      </c>
      <c r="Q62" s="38">
        <v>0</v>
      </c>
      <c r="R62" s="39">
        <f>SUM(P62:Q62)</f>
        <v>0</v>
      </c>
      <c r="S62" s="38"/>
      <c r="T62" s="40">
        <v>407</v>
      </c>
    </row>
    <row r="63" spans="2:20" ht="15.6" x14ac:dyDescent="0.3">
      <c r="B63" s="32">
        <f t="shared" si="9"/>
        <v>4</v>
      </c>
      <c r="C63" s="32" t="s">
        <v>112</v>
      </c>
      <c r="D63" s="33" t="s">
        <v>113</v>
      </c>
      <c r="E63" s="34">
        <v>45107</v>
      </c>
      <c r="F63" s="35">
        <f>45.1605*10</f>
        <v>451.60500000000002</v>
      </c>
      <c r="G63" s="36">
        <v>10</v>
      </c>
      <c r="H63" s="37">
        <f>+F63/G63</f>
        <v>45.160499999999999</v>
      </c>
      <c r="I63" s="35">
        <v>-568.43485299999998</v>
      </c>
      <c r="J63" s="35">
        <f>693.933727+117.650349</f>
        <v>811.58407599999998</v>
      </c>
      <c r="K63" s="35">
        <v>32.437564000000002</v>
      </c>
      <c r="L63" s="35">
        <v>45.460127999999997</v>
      </c>
      <c r="M63" s="35">
        <v>8.3458299999999994</v>
      </c>
      <c r="N63" s="37">
        <f>+M63-O63</f>
        <v>-6.2355490000000007</v>
      </c>
      <c r="O63" s="35">
        <v>14.581379</v>
      </c>
      <c r="P63" s="38">
        <v>0</v>
      </c>
      <c r="Q63" s="38">
        <v>0</v>
      </c>
      <c r="R63" s="39">
        <f>SUM(P63:Q63)</f>
        <v>0</v>
      </c>
      <c r="S63" s="38"/>
      <c r="T63" s="40"/>
    </row>
    <row r="64" spans="2:20" ht="15.6" x14ac:dyDescent="0.3">
      <c r="B64" s="27"/>
      <c r="C64" s="27"/>
      <c r="D64" s="27"/>
      <c r="E64" s="27"/>
      <c r="F64" s="27"/>
      <c r="G64" s="42"/>
      <c r="H64" s="43"/>
      <c r="I64" s="29"/>
      <c r="J64" s="29"/>
      <c r="K64" s="29"/>
      <c r="L64" s="29"/>
      <c r="M64" s="29"/>
      <c r="N64" s="44"/>
      <c r="O64" s="29"/>
      <c r="P64" s="29"/>
      <c r="Q64" s="29"/>
      <c r="R64" s="44"/>
      <c r="S64" s="29"/>
      <c r="T64" s="29"/>
    </row>
    <row r="65" spans="2:20" ht="15.6" x14ac:dyDescent="0.3">
      <c r="B65" s="46">
        <f>COUNT(B55:B64)</f>
        <v>7</v>
      </c>
      <c r="C65" s="46"/>
      <c r="D65" s="47"/>
      <c r="E65" s="47"/>
      <c r="F65" s="47">
        <f>SUM(F55:F64)</f>
        <v>1524.3161</v>
      </c>
      <c r="G65" s="48"/>
      <c r="H65" s="49">
        <f t="shared" ref="H65:O65" si="10">SUM(H55:H64)</f>
        <v>152.43161000000001</v>
      </c>
      <c r="I65" s="47">
        <f>SUM(I55:I64)</f>
        <v>354.12174400000004</v>
      </c>
      <c r="J65" s="47">
        <f t="shared" si="10"/>
        <v>4178.0187239999996</v>
      </c>
      <c r="K65" s="47">
        <f t="shared" si="10"/>
        <v>331.31817000000001</v>
      </c>
      <c r="L65" s="47">
        <f t="shared" si="10"/>
        <v>135.568714</v>
      </c>
      <c r="M65" s="47">
        <f t="shared" si="10"/>
        <v>73.358587</v>
      </c>
      <c r="N65" s="50">
        <f t="shared" si="10"/>
        <v>17.259939000000003</v>
      </c>
      <c r="O65" s="47">
        <f t="shared" si="10"/>
        <v>56.098647999999997</v>
      </c>
      <c r="P65" s="51"/>
      <c r="Q65" s="51"/>
      <c r="R65" s="52"/>
      <c r="S65" s="51"/>
      <c r="T65" s="53">
        <f>SUM(T55:T64)</f>
        <v>1100</v>
      </c>
    </row>
    <row r="66" spans="2:20" ht="15.6" x14ac:dyDescent="0.3">
      <c r="B66" s="27"/>
      <c r="C66" s="27"/>
      <c r="D66" s="27"/>
      <c r="E66" s="27"/>
      <c r="F66" s="27"/>
      <c r="G66" s="42"/>
      <c r="H66" s="43"/>
      <c r="I66" s="29"/>
      <c r="J66" s="29"/>
      <c r="K66" s="29"/>
      <c r="L66" s="29"/>
      <c r="M66" s="29"/>
      <c r="N66" s="44"/>
      <c r="O66" s="29"/>
      <c r="P66" s="29"/>
      <c r="Q66" s="29"/>
      <c r="R66" s="44"/>
      <c r="S66" s="29"/>
      <c r="T66" s="29"/>
    </row>
    <row r="67" spans="2:20" ht="15.6" x14ac:dyDescent="0.3">
      <c r="B67" s="27"/>
      <c r="C67" s="27"/>
      <c r="D67" s="27"/>
      <c r="E67" s="27"/>
      <c r="F67" s="27"/>
      <c r="G67" s="42"/>
      <c r="H67" s="43"/>
      <c r="I67" s="29"/>
      <c r="J67" s="29"/>
      <c r="K67" s="29"/>
      <c r="L67" s="29"/>
      <c r="M67" s="29"/>
      <c r="N67" s="44"/>
      <c r="O67" s="29"/>
      <c r="P67" s="29"/>
      <c r="Q67" s="29"/>
      <c r="R67" s="44"/>
      <c r="S67" s="29"/>
      <c r="T67" s="29"/>
    </row>
    <row r="68" spans="2:20" ht="18" x14ac:dyDescent="0.35">
      <c r="B68" s="27"/>
      <c r="C68" s="31">
        <v>4</v>
      </c>
      <c r="D68" s="56" t="s">
        <v>114</v>
      </c>
      <c r="E68" s="57"/>
      <c r="F68" s="58"/>
      <c r="G68" s="42"/>
      <c r="H68" s="43"/>
      <c r="I68" s="29"/>
      <c r="J68" s="29"/>
      <c r="K68" s="29"/>
      <c r="L68" s="29"/>
      <c r="M68" s="29"/>
      <c r="N68" s="44"/>
      <c r="O68" s="29"/>
      <c r="P68" s="29"/>
      <c r="Q68" s="29"/>
      <c r="R68" s="44"/>
      <c r="S68" s="29"/>
      <c r="T68" s="29"/>
    </row>
    <row r="69" spans="2:20" ht="15.6" x14ac:dyDescent="0.3">
      <c r="B69" s="27"/>
      <c r="C69" s="27"/>
      <c r="D69" s="27"/>
      <c r="E69" s="27"/>
      <c r="F69" s="27"/>
      <c r="G69" s="42"/>
      <c r="H69" s="43"/>
      <c r="I69" s="29"/>
      <c r="J69" s="29"/>
      <c r="K69" s="29"/>
      <c r="L69" s="29"/>
      <c r="M69" s="29"/>
      <c r="N69" s="44"/>
      <c r="O69" s="29"/>
      <c r="P69" s="29"/>
      <c r="Q69" s="29"/>
      <c r="R69" s="44"/>
      <c r="S69" s="29"/>
      <c r="T69" s="29"/>
    </row>
    <row r="70" spans="2:20" ht="15.6" x14ac:dyDescent="0.3">
      <c r="B70" s="32">
        <v>1</v>
      </c>
      <c r="C70" s="32">
        <v>786</v>
      </c>
      <c r="D70" s="33" t="s">
        <v>115</v>
      </c>
      <c r="E70" s="34">
        <v>45107</v>
      </c>
      <c r="F70" s="35">
        <v>149.73750000000001</v>
      </c>
      <c r="G70" s="36">
        <v>10</v>
      </c>
      <c r="H70" s="37">
        <f t="shared" ref="H70:H96" si="11">+F70/G70</f>
        <v>14.973750000000001</v>
      </c>
      <c r="I70" s="35">
        <v>241.01744199999999</v>
      </c>
      <c r="J70" s="35">
        <v>260.54850199999998</v>
      </c>
      <c r="K70" s="35">
        <v>47.631383999999997</v>
      </c>
      <c r="L70" s="35">
        <v>4.3199170000000002</v>
      </c>
      <c r="M70" s="35">
        <v>13.556084999999999</v>
      </c>
      <c r="N70" s="37">
        <f t="shared" ref="N70:N96" si="12">+M70-O70</f>
        <v>3.4610149999999997</v>
      </c>
      <c r="O70" s="35">
        <v>10.09507</v>
      </c>
      <c r="P70" s="38">
        <v>0</v>
      </c>
      <c r="Q70" s="38">
        <v>0</v>
      </c>
      <c r="R70" s="39">
        <f t="shared" ref="R70:R96" si="13">SUM(P70:Q70)</f>
        <v>0</v>
      </c>
      <c r="S70" s="38"/>
      <c r="T70" s="40">
        <v>882</v>
      </c>
    </row>
    <row r="71" spans="2:20" ht="15.6" x14ac:dyDescent="0.3">
      <c r="B71" s="32">
        <f>+B70+1</f>
        <v>2</v>
      </c>
      <c r="C71" s="32" t="s">
        <v>116</v>
      </c>
      <c r="D71" s="33" t="s">
        <v>117</v>
      </c>
      <c r="E71" s="34">
        <v>45107</v>
      </c>
      <c r="F71" s="35">
        <f>65.34*G71</f>
        <v>653.40000000000009</v>
      </c>
      <c r="G71" s="36">
        <v>10</v>
      </c>
      <c r="H71" s="37">
        <f t="shared" si="11"/>
        <v>65.34</v>
      </c>
      <c r="I71" s="35">
        <v>4994.2522859999999</v>
      </c>
      <c r="J71" s="35">
        <v>7785.230947</v>
      </c>
      <c r="K71" s="35">
        <v>1502.5421710000001</v>
      </c>
      <c r="L71" s="35">
        <v>637.86917400000004</v>
      </c>
      <c r="M71" s="35">
        <v>352.10211099999998</v>
      </c>
      <c r="N71" s="37">
        <f t="shared" si="12"/>
        <v>167.43000899999998</v>
      </c>
      <c r="O71" s="35">
        <v>184.672102</v>
      </c>
      <c r="P71" s="38">
        <v>25</v>
      </c>
      <c r="Q71" s="38">
        <v>0</v>
      </c>
      <c r="R71" s="39">
        <f t="shared" si="13"/>
        <v>25</v>
      </c>
      <c r="S71" s="38"/>
      <c r="T71" s="40">
        <v>3657</v>
      </c>
    </row>
    <row r="72" spans="2:20" ht="15.6" x14ac:dyDescent="0.3">
      <c r="B72" s="32">
        <f>+B71+1</f>
        <v>3</v>
      </c>
      <c r="C72" s="32" t="s">
        <v>118</v>
      </c>
      <c r="D72" s="33" t="s">
        <v>119</v>
      </c>
      <c r="E72" s="34">
        <v>45107</v>
      </c>
      <c r="F72" s="35">
        <f>557.834171*G72</f>
        <v>5578.3417099999997</v>
      </c>
      <c r="G72" s="36">
        <v>10</v>
      </c>
      <c r="H72" s="37">
        <f t="shared" si="11"/>
        <v>557.83417099999997</v>
      </c>
      <c r="I72" s="35">
        <v>8154.0807720000003</v>
      </c>
      <c r="J72" s="35">
        <v>10934.776927000001</v>
      </c>
      <c r="K72" s="35">
        <f>644.984524+562.212467+199.536495</f>
        <v>1406.7334859999999</v>
      </c>
      <c r="L72" s="35">
        <v>116.678584</v>
      </c>
      <c r="M72" s="35">
        <v>359.083507</v>
      </c>
      <c r="N72" s="37">
        <f t="shared" si="12"/>
        <v>-47.672213999999997</v>
      </c>
      <c r="O72" s="35">
        <v>406.75572099999999</v>
      </c>
      <c r="P72" s="38">
        <v>0</v>
      </c>
      <c r="Q72" s="38">
        <v>0</v>
      </c>
      <c r="R72" s="39">
        <f t="shared" si="13"/>
        <v>0</v>
      </c>
      <c r="S72" s="38"/>
      <c r="T72" s="40">
        <v>4056</v>
      </c>
    </row>
    <row r="73" spans="2:20" ht="15.6" x14ac:dyDescent="0.3">
      <c r="B73" s="32">
        <f t="shared" ref="B73:B96" si="14">+B72+1</f>
        <v>4</v>
      </c>
      <c r="C73" s="32" t="s">
        <v>120</v>
      </c>
      <c r="D73" s="33" t="s">
        <v>121</v>
      </c>
      <c r="E73" s="34">
        <v>45291</v>
      </c>
      <c r="F73" s="35"/>
      <c r="G73" s="36">
        <v>10</v>
      </c>
      <c r="H73" s="37">
        <f>+F73/G73</f>
        <v>0</v>
      </c>
      <c r="I73" s="35"/>
      <c r="J73" s="35"/>
      <c r="K73" s="35"/>
      <c r="L73" s="35"/>
      <c r="M73" s="35"/>
      <c r="N73" s="37">
        <f t="shared" si="12"/>
        <v>0</v>
      </c>
      <c r="O73" s="35"/>
      <c r="P73" s="38"/>
      <c r="Q73" s="38"/>
      <c r="R73" s="39">
        <f>SUM(P73:Q73)</f>
        <v>0</v>
      </c>
      <c r="S73" s="38"/>
      <c r="T73" s="40"/>
    </row>
    <row r="74" spans="2:20" ht="15.6" x14ac:dyDescent="0.3">
      <c r="B74" s="32">
        <f t="shared" si="14"/>
        <v>5</v>
      </c>
      <c r="C74" s="32" t="s">
        <v>122</v>
      </c>
      <c r="D74" s="33" t="s">
        <v>123</v>
      </c>
      <c r="E74" s="34">
        <v>45291</v>
      </c>
      <c r="F74" s="35">
        <v>615.59100000000001</v>
      </c>
      <c r="G74" s="36">
        <v>10</v>
      </c>
      <c r="H74" s="37">
        <f t="shared" si="11"/>
        <v>61.559100000000001</v>
      </c>
      <c r="I74" s="35">
        <v>1539.0640000000001</v>
      </c>
      <c r="J74" s="35">
        <v>1644.712</v>
      </c>
      <c r="K74" s="35">
        <f>135.078+88.221+2.546+193.017</f>
        <v>418.86199999999997</v>
      </c>
      <c r="L74" s="35">
        <v>7.7080000000000002</v>
      </c>
      <c r="M74" s="35">
        <v>375.18200000000002</v>
      </c>
      <c r="N74" s="37">
        <f t="shared" si="12"/>
        <v>50.578000000000031</v>
      </c>
      <c r="O74" s="35">
        <v>324.60399999999998</v>
      </c>
      <c r="P74" s="38">
        <v>0</v>
      </c>
      <c r="Q74" s="38">
        <v>0</v>
      </c>
      <c r="R74" s="39">
        <f t="shared" si="13"/>
        <v>0</v>
      </c>
      <c r="S74" s="38"/>
      <c r="T74" s="40">
        <v>1635</v>
      </c>
    </row>
    <row r="75" spans="2:20" ht="16.5" customHeight="1" x14ac:dyDescent="0.3">
      <c r="B75" s="32">
        <f t="shared" si="14"/>
        <v>6</v>
      </c>
      <c r="C75" s="32" t="s">
        <v>18</v>
      </c>
      <c r="D75" s="33" t="s">
        <v>124</v>
      </c>
      <c r="E75" s="34">
        <v>45107</v>
      </c>
      <c r="F75" s="35">
        <f>10.744413*G75</f>
        <v>107.44413</v>
      </c>
      <c r="G75" s="36">
        <v>10</v>
      </c>
      <c r="H75" s="37">
        <f>+F75/G75</f>
        <v>10.744413</v>
      </c>
      <c r="I75" s="35">
        <v>274.64111700000001</v>
      </c>
      <c r="J75" s="35">
        <v>286.18502000000001</v>
      </c>
      <c r="K75" s="35">
        <v>45.972526000000002</v>
      </c>
      <c r="L75" s="35">
        <v>4.5699610000000002</v>
      </c>
      <c r="M75" s="35">
        <v>26.78999</v>
      </c>
      <c r="N75" s="37">
        <f t="shared" si="12"/>
        <v>6.845206000000001</v>
      </c>
      <c r="O75" s="35">
        <v>19.944783999999999</v>
      </c>
      <c r="P75" s="38">
        <v>0</v>
      </c>
      <c r="Q75" s="38">
        <v>0</v>
      </c>
      <c r="R75" s="39">
        <f>SUM(P75:Q75)</f>
        <v>0</v>
      </c>
      <c r="S75" s="38"/>
      <c r="T75" s="40">
        <v>744</v>
      </c>
    </row>
    <row r="76" spans="2:20" ht="15.6" x14ac:dyDescent="0.3">
      <c r="B76" s="32">
        <f t="shared" si="14"/>
        <v>7</v>
      </c>
      <c r="C76" s="32" t="s">
        <v>125</v>
      </c>
      <c r="D76" s="33" t="s">
        <v>126</v>
      </c>
      <c r="E76" s="34">
        <v>45107</v>
      </c>
      <c r="F76" s="35">
        <v>274.96499999999997</v>
      </c>
      <c r="G76" s="36">
        <v>10</v>
      </c>
      <c r="H76" s="37">
        <f t="shared" si="11"/>
        <v>27.496499999999997</v>
      </c>
      <c r="I76" s="35">
        <v>250.22</v>
      </c>
      <c r="J76" s="35">
        <v>353.74310400000002</v>
      </c>
      <c r="K76" s="35">
        <v>62.339790999999998</v>
      </c>
      <c r="L76" s="35">
        <v>8.2029239999999994</v>
      </c>
      <c r="M76" s="35">
        <v>-15.6129</v>
      </c>
      <c r="N76" s="37">
        <f t="shared" si="12"/>
        <v>8.4611529999999995</v>
      </c>
      <c r="O76" s="35">
        <v>-24.074052999999999</v>
      </c>
      <c r="P76" s="38">
        <v>0</v>
      </c>
      <c r="Q76" s="38">
        <v>0</v>
      </c>
      <c r="R76" s="39">
        <f t="shared" si="13"/>
        <v>0</v>
      </c>
      <c r="S76" s="38"/>
      <c r="T76" s="40">
        <v>2788</v>
      </c>
    </row>
    <row r="77" spans="2:20" ht="15.6" x14ac:dyDescent="0.3">
      <c r="B77" s="32">
        <f t="shared" si="14"/>
        <v>8</v>
      </c>
      <c r="C77" s="59" t="s">
        <v>127</v>
      </c>
      <c r="D77" s="33" t="s">
        <v>128</v>
      </c>
      <c r="E77" s="34">
        <v>45291</v>
      </c>
      <c r="F77" s="35">
        <v>4812.8711599999997</v>
      </c>
      <c r="G77" s="36">
        <v>10</v>
      </c>
      <c r="H77" s="37">
        <f>+F77/G77</f>
        <v>481.28711599999997</v>
      </c>
      <c r="I77" s="35">
        <v>28573.166000000001</v>
      </c>
      <c r="J77" s="35">
        <v>32123.522000000001</v>
      </c>
      <c r="K77" s="35">
        <v>14788.132</v>
      </c>
      <c r="L77" s="35">
        <v>326.84800000000001</v>
      </c>
      <c r="M77" s="35">
        <v>14325.177</v>
      </c>
      <c r="N77" s="37">
        <f t="shared" si="12"/>
        <v>3975.4040000000005</v>
      </c>
      <c r="O77" s="35">
        <v>10349.772999999999</v>
      </c>
      <c r="P77" s="38">
        <f>150+10+20</f>
        <v>180</v>
      </c>
      <c r="Q77" s="38">
        <v>0</v>
      </c>
      <c r="R77" s="39">
        <f>SUM(P77:Q77)</f>
        <v>180</v>
      </c>
      <c r="S77" s="38"/>
      <c r="T77" s="40">
        <v>3674</v>
      </c>
    </row>
    <row r="78" spans="2:20" ht="15.6" x14ac:dyDescent="0.3">
      <c r="B78" s="32">
        <f t="shared" si="14"/>
        <v>9</v>
      </c>
      <c r="C78" s="59" t="s">
        <v>129</v>
      </c>
      <c r="D78" s="33" t="s">
        <v>130</v>
      </c>
      <c r="E78" s="34">
        <v>45291</v>
      </c>
      <c r="F78" s="35"/>
      <c r="G78" s="36">
        <v>10</v>
      </c>
      <c r="H78" s="37">
        <f>+F78/G78</f>
        <v>0</v>
      </c>
      <c r="I78" s="35"/>
      <c r="J78" s="35"/>
      <c r="K78" s="35"/>
      <c r="L78" s="35"/>
      <c r="M78" s="35"/>
      <c r="N78" s="37">
        <f t="shared" si="12"/>
        <v>0</v>
      </c>
      <c r="O78" s="35"/>
      <c r="P78" s="38"/>
      <c r="Q78" s="38"/>
      <c r="R78" s="39">
        <f>SUM(P78:Q78)</f>
        <v>0</v>
      </c>
      <c r="S78" s="38"/>
      <c r="T78" s="40"/>
    </row>
    <row r="79" spans="2:20" ht="15.6" x14ac:dyDescent="0.3">
      <c r="B79" s="32">
        <f t="shared" si="14"/>
        <v>10</v>
      </c>
      <c r="C79" s="32" t="s">
        <v>131</v>
      </c>
      <c r="D79" s="33" t="s">
        <v>132</v>
      </c>
      <c r="E79" s="34">
        <v>45291</v>
      </c>
      <c r="F79" s="35">
        <v>200.15649999999999</v>
      </c>
      <c r="G79" s="36">
        <v>10</v>
      </c>
      <c r="H79" s="37">
        <f t="shared" si="11"/>
        <v>20.015650000000001</v>
      </c>
      <c r="I79" s="35">
        <v>122.831954</v>
      </c>
      <c r="J79" s="35">
        <v>744.62435600000003</v>
      </c>
      <c r="K79" s="35">
        <f>149.455452+139.389345</f>
        <v>288.84479699999997</v>
      </c>
      <c r="L79" s="35">
        <v>157.406733</v>
      </c>
      <c r="M79" s="35">
        <v>-79.594538999999997</v>
      </c>
      <c r="N79" s="37">
        <f t="shared" si="12"/>
        <v>27.858548999999996</v>
      </c>
      <c r="O79" s="35">
        <v>-107.45308799999999</v>
      </c>
      <c r="P79" s="38">
        <v>0</v>
      </c>
      <c r="Q79" s="38">
        <v>0</v>
      </c>
      <c r="R79" s="39">
        <f t="shared" si="13"/>
        <v>0</v>
      </c>
      <c r="S79" s="38"/>
      <c r="T79" s="40">
        <v>2617</v>
      </c>
    </row>
    <row r="80" spans="2:20" ht="15.6" x14ac:dyDescent="0.3">
      <c r="B80" s="32">
        <f t="shared" si="14"/>
        <v>11</v>
      </c>
      <c r="C80" s="32" t="s">
        <v>133</v>
      </c>
      <c r="D80" s="33" t="s">
        <v>134</v>
      </c>
      <c r="E80" s="34">
        <v>45107</v>
      </c>
      <c r="F80" s="35">
        <f>135.6*G80</f>
        <v>1356</v>
      </c>
      <c r="G80" s="36">
        <v>10</v>
      </c>
      <c r="H80" s="37">
        <f t="shared" si="11"/>
        <v>135.6</v>
      </c>
      <c r="I80" s="35">
        <v>594.62689699999999</v>
      </c>
      <c r="J80" s="35">
        <v>766.45303999999999</v>
      </c>
      <c r="K80" s="35">
        <f>110.650582-5.556063</f>
        <v>105.09451900000001</v>
      </c>
      <c r="L80" s="35">
        <v>4.861599</v>
      </c>
      <c r="M80" s="35">
        <v>-46.965636000000003</v>
      </c>
      <c r="N80" s="37">
        <f t="shared" si="12"/>
        <v>1.6634609999999981</v>
      </c>
      <c r="O80" s="35">
        <v>-48.629097000000002</v>
      </c>
      <c r="P80" s="38">
        <v>0</v>
      </c>
      <c r="Q80" s="38">
        <v>0</v>
      </c>
      <c r="R80" s="39">
        <f t="shared" si="13"/>
        <v>0</v>
      </c>
      <c r="S80" s="38"/>
      <c r="T80" s="40">
        <v>1050</v>
      </c>
    </row>
    <row r="81" spans="2:20" ht="15.6" x14ac:dyDescent="0.3">
      <c r="B81" s="32">
        <f t="shared" si="14"/>
        <v>12</v>
      </c>
      <c r="C81" s="32" t="s">
        <v>135</v>
      </c>
      <c r="D81" s="33" t="s">
        <v>136</v>
      </c>
      <c r="E81" s="34">
        <v>45107</v>
      </c>
      <c r="F81" s="35">
        <v>650</v>
      </c>
      <c r="G81" s="36">
        <v>10</v>
      </c>
      <c r="H81" s="37">
        <f t="shared" si="11"/>
        <v>65</v>
      </c>
      <c r="I81" s="35">
        <v>723.91272100000003</v>
      </c>
      <c r="J81" s="35">
        <v>1851.3101710000001</v>
      </c>
      <c r="K81" s="35">
        <f>84.556043+192.44403+2.245964</f>
        <v>279.246037</v>
      </c>
      <c r="L81" s="35">
        <v>191.21713399999999</v>
      </c>
      <c r="M81" s="35">
        <v>29.828887999999999</v>
      </c>
      <c r="N81" s="37">
        <f t="shared" si="12"/>
        <v>16.834676000000002</v>
      </c>
      <c r="O81" s="35">
        <v>12.994211999999999</v>
      </c>
      <c r="P81" s="38">
        <v>0</v>
      </c>
      <c r="Q81" s="38">
        <v>0</v>
      </c>
      <c r="R81" s="39">
        <f t="shared" si="13"/>
        <v>0</v>
      </c>
      <c r="S81" s="38"/>
      <c r="T81" s="40">
        <v>990</v>
      </c>
    </row>
    <row r="82" spans="2:20" ht="15.6" x14ac:dyDescent="0.3">
      <c r="B82" s="32">
        <f t="shared" si="14"/>
        <v>13</v>
      </c>
      <c r="C82" s="32" t="s">
        <v>137</v>
      </c>
      <c r="D82" s="33" t="s">
        <v>138</v>
      </c>
      <c r="E82" s="34">
        <v>45107</v>
      </c>
      <c r="F82" s="35">
        <f>316.610115*G82</f>
        <v>3166.10115</v>
      </c>
      <c r="G82" s="36">
        <v>10</v>
      </c>
      <c r="H82" s="37">
        <f t="shared" si="11"/>
        <v>316.61011500000001</v>
      </c>
      <c r="I82" s="35">
        <v>1941.2034100000001</v>
      </c>
      <c r="J82" s="35">
        <f>4085.920036+81.305187</f>
        <v>4167.2252230000004</v>
      </c>
      <c r="K82" s="35">
        <v>246.65496999999999</v>
      </c>
      <c r="L82" s="35">
        <v>312.57479799999999</v>
      </c>
      <c r="M82" s="35">
        <v>-64.652365000000003</v>
      </c>
      <c r="N82" s="37">
        <f t="shared" si="12"/>
        <v>8.2526599999999917</v>
      </c>
      <c r="O82" s="35">
        <v>-72.905024999999995</v>
      </c>
      <c r="P82" s="38">
        <v>0</v>
      </c>
      <c r="Q82" s="38">
        <v>0</v>
      </c>
      <c r="R82" s="39">
        <f t="shared" si="13"/>
        <v>0</v>
      </c>
      <c r="S82" s="38"/>
      <c r="T82" s="40">
        <v>4151</v>
      </c>
    </row>
    <row r="83" spans="2:20" ht="15.6" x14ac:dyDescent="0.3">
      <c r="B83" s="32">
        <f t="shared" si="14"/>
        <v>14</v>
      </c>
      <c r="C83" s="32" t="s">
        <v>139</v>
      </c>
      <c r="D83" s="33" t="s">
        <v>140</v>
      </c>
      <c r="E83" s="34">
        <v>45107</v>
      </c>
      <c r="F83" s="35">
        <v>1483.90023</v>
      </c>
      <c r="G83" s="36">
        <v>10</v>
      </c>
      <c r="H83" s="37">
        <f t="shared" si="11"/>
        <v>148.39002299999999</v>
      </c>
      <c r="I83" s="35">
        <v>580.26578099999995</v>
      </c>
      <c r="J83" s="35">
        <v>913.78690500000005</v>
      </c>
      <c r="K83" s="35">
        <v>34.856968999999999</v>
      </c>
      <c r="L83" s="35">
        <v>1.3946E-2</v>
      </c>
      <c r="M83" s="35">
        <v>59.489786000000002</v>
      </c>
      <c r="N83" s="37">
        <f t="shared" si="12"/>
        <v>44.450939000000005</v>
      </c>
      <c r="O83" s="35">
        <v>15.038847000000001</v>
      </c>
      <c r="P83" s="38">
        <v>0</v>
      </c>
      <c r="Q83" s="38">
        <v>0</v>
      </c>
      <c r="R83" s="39">
        <f t="shared" si="13"/>
        <v>0</v>
      </c>
      <c r="S83" s="38"/>
      <c r="T83" s="40">
        <v>3859</v>
      </c>
    </row>
    <row r="84" spans="2:20" ht="15.6" x14ac:dyDescent="0.3">
      <c r="B84" s="32">
        <f t="shared" si="14"/>
        <v>15</v>
      </c>
      <c r="C84" s="32" t="s">
        <v>141</v>
      </c>
      <c r="D84" s="33" t="s">
        <v>142</v>
      </c>
      <c r="E84" s="34">
        <v>45107</v>
      </c>
      <c r="F84" s="35">
        <f>267.286331*G84</f>
        <v>2672.8633100000002</v>
      </c>
      <c r="G84" s="36">
        <v>10</v>
      </c>
      <c r="H84" s="37">
        <f t="shared" si="11"/>
        <v>267.28633100000002</v>
      </c>
      <c r="I84" s="35">
        <v>1189.8180070000001</v>
      </c>
      <c r="J84" s="35">
        <v>1846.5566389999999</v>
      </c>
      <c r="K84" s="35">
        <v>-5.5844999999999999E-2</v>
      </c>
      <c r="L84" s="35">
        <v>32.746670999999999</v>
      </c>
      <c r="M84" s="35">
        <v>-91.950450000000004</v>
      </c>
      <c r="N84" s="37">
        <f t="shared" si="12"/>
        <v>-4.4561210000000102</v>
      </c>
      <c r="O84" s="35">
        <v>-87.494328999999993</v>
      </c>
      <c r="P84" s="38">
        <v>0</v>
      </c>
      <c r="Q84" s="38">
        <v>0</v>
      </c>
      <c r="R84" s="39">
        <f t="shared" si="13"/>
        <v>0</v>
      </c>
      <c r="S84" s="38"/>
      <c r="T84" s="40">
        <v>3734</v>
      </c>
    </row>
    <row r="85" spans="2:20" ht="15.6" x14ac:dyDescent="0.3">
      <c r="B85" s="32">
        <f t="shared" si="14"/>
        <v>16</v>
      </c>
      <c r="C85" s="32" t="s">
        <v>143</v>
      </c>
      <c r="D85" s="33" t="s">
        <v>144</v>
      </c>
      <c r="E85" s="34">
        <v>45107</v>
      </c>
      <c r="F85" s="35">
        <f>99.02*G85</f>
        <v>990.19999999999993</v>
      </c>
      <c r="G85" s="36">
        <v>10</v>
      </c>
      <c r="H85" s="37">
        <f>+F85/G85</f>
        <v>99.02</v>
      </c>
      <c r="I85" s="35">
        <v>10260.879000000001</v>
      </c>
      <c r="J85" s="35">
        <v>12681.924999999999</v>
      </c>
      <c r="K85" s="35">
        <v>358.06400000000002</v>
      </c>
      <c r="L85" s="35">
        <v>0.115</v>
      </c>
      <c r="M85" s="35">
        <f>166.82-30.252</f>
        <v>136.56799999999998</v>
      </c>
      <c r="N85" s="37">
        <f t="shared" si="12"/>
        <v>22.496999999999986</v>
      </c>
      <c r="O85" s="35">
        <v>114.071</v>
      </c>
      <c r="P85" s="38">
        <v>0</v>
      </c>
      <c r="Q85" s="38">
        <v>0</v>
      </c>
      <c r="R85" s="39">
        <f>SUM(P85:Q85)</f>
        <v>0</v>
      </c>
      <c r="S85" s="38"/>
      <c r="T85" s="40">
        <v>1731</v>
      </c>
    </row>
    <row r="86" spans="2:20" ht="15.6" x14ac:dyDescent="0.3">
      <c r="B86" s="32">
        <f t="shared" si="14"/>
        <v>17</v>
      </c>
      <c r="C86" s="32" t="s">
        <v>145</v>
      </c>
      <c r="D86" s="33" t="s">
        <v>146</v>
      </c>
      <c r="E86" s="34">
        <v>45107</v>
      </c>
      <c r="F86" s="35">
        <f>284.866896*G86</f>
        <v>2848.66896</v>
      </c>
      <c r="G86" s="36">
        <v>10</v>
      </c>
      <c r="H86" s="37">
        <f t="shared" si="11"/>
        <v>284.866896</v>
      </c>
      <c r="I86" s="35">
        <v>556.52983800000004</v>
      </c>
      <c r="J86" s="35">
        <v>1088.295259</v>
      </c>
      <c r="K86" s="35">
        <v>123.152781</v>
      </c>
      <c r="L86" s="35">
        <v>12.041207999999999</v>
      </c>
      <c r="M86" s="35">
        <v>99.233042999999995</v>
      </c>
      <c r="N86" s="37">
        <f t="shared" si="12"/>
        <v>9.4730809999999934</v>
      </c>
      <c r="O86" s="35">
        <v>89.759962000000002</v>
      </c>
      <c r="P86" s="38">
        <v>0</v>
      </c>
      <c r="Q86" s="38">
        <v>0</v>
      </c>
      <c r="R86" s="39">
        <f t="shared" si="13"/>
        <v>0</v>
      </c>
      <c r="S86" s="38"/>
      <c r="T86" s="40">
        <v>9933</v>
      </c>
    </row>
    <row r="87" spans="2:20" ht="15.6" x14ac:dyDescent="0.3">
      <c r="B87" s="32">
        <f t="shared" si="14"/>
        <v>18</v>
      </c>
      <c r="C87" s="32" t="s">
        <v>147</v>
      </c>
      <c r="D87" s="33" t="s">
        <v>148</v>
      </c>
      <c r="E87" s="34">
        <v>45291</v>
      </c>
      <c r="F87" s="35">
        <v>9159.4238800000003</v>
      </c>
      <c r="G87" s="36">
        <v>10</v>
      </c>
      <c r="H87" s="37">
        <f t="shared" si="11"/>
        <v>915.94238800000005</v>
      </c>
      <c r="I87" s="35">
        <v>31104.723999999998</v>
      </c>
      <c r="J87" s="35">
        <v>32522.037</v>
      </c>
      <c r="K87" s="35">
        <v>1570.6859999999999</v>
      </c>
      <c r="L87" s="35">
        <v>117.533</v>
      </c>
      <c r="M87" s="35">
        <v>1097.8610000000001</v>
      </c>
      <c r="N87" s="37">
        <f t="shared" si="12"/>
        <v>807.04700000000003</v>
      </c>
      <c r="O87" s="35">
        <v>290.81400000000002</v>
      </c>
      <c r="P87" s="38">
        <f>6</f>
        <v>6</v>
      </c>
      <c r="Q87" s="38">
        <v>0</v>
      </c>
      <c r="R87" s="39">
        <f t="shared" si="13"/>
        <v>6</v>
      </c>
      <c r="S87" s="38"/>
      <c r="T87" s="40">
        <v>6457</v>
      </c>
    </row>
    <row r="88" spans="2:20" ht="15.6" x14ac:dyDescent="0.3">
      <c r="B88" s="32">
        <f t="shared" si="14"/>
        <v>19</v>
      </c>
      <c r="C88" s="32" t="s">
        <v>149</v>
      </c>
      <c r="D88" s="33" t="s">
        <v>150</v>
      </c>
      <c r="E88" s="34">
        <v>45291</v>
      </c>
      <c r="F88" s="35">
        <v>274.77296999999999</v>
      </c>
      <c r="G88" s="36">
        <v>10</v>
      </c>
      <c r="H88" s="37">
        <f t="shared" si="11"/>
        <v>27.477297</v>
      </c>
      <c r="I88" s="35">
        <v>2451.7111049999999</v>
      </c>
      <c r="J88" s="35">
        <v>6251.1822709999997</v>
      </c>
      <c r="K88" s="35">
        <v>1095.4328559999999</v>
      </c>
      <c r="L88" s="35">
        <v>111.56386999999999</v>
      </c>
      <c r="M88" s="35">
        <v>258.977959</v>
      </c>
      <c r="N88" s="37">
        <f t="shared" si="12"/>
        <v>71.681605999999988</v>
      </c>
      <c r="O88" s="35">
        <v>187.29635300000001</v>
      </c>
      <c r="P88" s="38">
        <v>0</v>
      </c>
      <c r="Q88" s="38">
        <v>0</v>
      </c>
      <c r="R88" s="39">
        <f t="shared" si="13"/>
        <v>0</v>
      </c>
      <c r="S88" s="38"/>
      <c r="T88" s="40">
        <v>806</v>
      </c>
    </row>
    <row r="89" spans="2:20" ht="15.6" x14ac:dyDescent="0.3">
      <c r="B89" s="32">
        <f t="shared" si="14"/>
        <v>20</v>
      </c>
      <c r="C89" s="32" t="s">
        <v>151</v>
      </c>
      <c r="D89" s="33" t="s">
        <v>152</v>
      </c>
      <c r="E89" s="34">
        <v>45291</v>
      </c>
      <c r="F89" s="35">
        <v>617.74256000000003</v>
      </c>
      <c r="G89" s="36">
        <v>10</v>
      </c>
      <c r="H89" s="37">
        <f t="shared" si="11"/>
        <v>61.774256000000001</v>
      </c>
      <c r="I89" s="35">
        <v>1665.4213810000001</v>
      </c>
      <c r="J89" s="35">
        <v>2122.220648</v>
      </c>
      <c r="K89" s="35">
        <v>641.94516499999997</v>
      </c>
      <c r="L89" s="35">
        <v>26.680904999999999</v>
      </c>
      <c r="M89" s="35">
        <v>254.26958300000001</v>
      </c>
      <c r="N89" s="37">
        <f t="shared" si="12"/>
        <v>-55.754854999999964</v>
      </c>
      <c r="O89" s="35">
        <v>310.02443799999998</v>
      </c>
      <c r="P89" s="38">
        <v>0</v>
      </c>
      <c r="Q89" s="38">
        <v>0</v>
      </c>
      <c r="R89" s="39">
        <f t="shared" si="13"/>
        <v>0</v>
      </c>
      <c r="S89" s="38"/>
      <c r="T89" s="40">
        <v>1461</v>
      </c>
    </row>
    <row r="90" spans="2:20" ht="15.6" x14ac:dyDescent="0.3">
      <c r="B90" s="32">
        <f t="shared" si="14"/>
        <v>21</v>
      </c>
      <c r="C90" s="32" t="s">
        <v>153</v>
      </c>
      <c r="D90" s="33" t="s">
        <v>154</v>
      </c>
      <c r="E90" s="34">
        <v>45107</v>
      </c>
      <c r="F90" s="35">
        <f>179.59788*G90</f>
        <v>1795.9788000000001</v>
      </c>
      <c r="G90" s="36">
        <v>10</v>
      </c>
      <c r="H90" s="37">
        <f t="shared" si="11"/>
        <v>179.59788</v>
      </c>
      <c r="I90" s="35">
        <v>2197.1709999999998</v>
      </c>
      <c r="J90" s="35">
        <v>2460.107</v>
      </c>
      <c r="K90" s="35">
        <v>181.96600000000001</v>
      </c>
      <c r="L90" s="35">
        <v>5.0000000000000001E-3</v>
      </c>
      <c r="M90" s="35">
        <v>238.28</v>
      </c>
      <c r="N90" s="37">
        <f t="shared" si="12"/>
        <v>16.405000000000001</v>
      </c>
      <c r="O90" s="35">
        <v>221.875</v>
      </c>
      <c r="P90" s="38">
        <v>5</v>
      </c>
      <c r="Q90" s="38">
        <v>0</v>
      </c>
      <c r="R90" s="39">
        <f t="shared" ref="R90" si="15">SUM(P90:Q90)</f>
        <v>5</v>
      </c>
      <c r="S90" s="38"/>
      <c r="T90" s="40">
        <v>1455</v>
      </c>
    </row>
    <row r="91" spans="2:20" ht="15.6" x14ac:dyDescent="0.3">
      <c r="B91" s="32">
        <f t="shared" si="14"/>
        <v>22</v>
      </c>
      <c r="C91" s="32" t="s">
        <v>155</v>
      </c>
      <c r="D91" s="33" t="s">
        <v>156</v>
      </c>
      <c r="E91" s="34">
        <v>45107</v>
      </c>
      <c r="F91" s="35">
        <v>720</v>
      </c>
      <c r="G91" s="36">
        <v>10</v>
      </c>
      <c r="H91" s="37">
        <f t="shared" si="11"/>
        <v>72</v>
      </c>
      <c r="I91" s="35">
        <v>1740.7094199999999</v>
      </c>
      <c r="J91" s="35">
        <v>2711.4490110000002</v>
      </c>
      <c r="K91" s="35">
        <v>1200.6634059999999</v>
      </c>
      <c r="L91" s="35">
        <v>17.603674000000002</v>
      </c>
      <c r="M91" s="35">
        <v>613.92194600000005</v>
      </c>
      <c r="N91" s="37">
        <f t="shared" si="12"/>
        <v>235.70376000000005</v>
      </c>
      <c r="O91" s="35">
        <v>378.218186</v>
      </c>
      <c r="P91" s="38">
        <f>55</f>
        <v>55</v>
      </c>
      <c r="Q91" s="38">
        <v>0</v>
      </c>
      <c r="R91" s="39">
        <f t="shared" si="13"/>
        <v>55</v>
      </c>
      <c r="S91" s="38"/>
      <c r="T91" s="40">
        <v>860</v>
      </c>
    </row>
    <row r="92" spans="2:20" ht="15.6" x14ac:dyDescent="0.3">
      <c r="B92" s="32">
        <f t="shared" si="14"/>
        <v>23</v>
      </c>
      <c r="C92" s="32" t="s">
        <v>157</v>
      </c>
      <c r="D92" s="33" t="s">
        <v>158</v>
      </c>
      <c r="E92" s="34">
        <v>45107</v>
      </c>
      <c r="F92" s="35">
        <f>56.925*G92</f>
        <v>569.25</v>
      </c>
      <c r="G92" s="36">
        <v>10</v>
      </c>
      <c r="H92" s="37">
        <f t="shared" si="11"/>
        <v>56.924999999999997</v>
      </c>
      <c r="I92" s="35">
        <v>428.04662200000001</v>
      </c>
      <c r="J92" s="35">
        <v>816.81786</v>
      </c>
      <c r="K92" s="35">
        <v>119.20324599999999</v>
      </c>
      <c r="L92" s="35">
        <v>18.547779999999999</v>
      </c>
      <c r="M92" s="35">
        <v>-89.651949000000002</v>
      </c>
      <c r="N92" s="37">
        <f t="shared" si="12"/>
        <v>7.561710000000005</v>
      </c>
      <c r="O92" s="35">
        <v>-97.213659000000007</v>
      </c>
      <c r="P92" s="38">
        <v>0</v>
      </c>
      <c r="Q92" s="38">
        <v>0</v>
      </c>
      <c r="R92" s="39">
        <f t="shared" si="13"/>
        <v>0</v>
      </c>
      <c r="S92" s="38"/>
      <c r="T92" s="40">
        <v>739</v>
      </c>
    </row>
    <row r="93" spans="2:20" ht="15.6" x14ac:dyDescent="0.3">
      <c r="B93" s="32">
        <f t="shared" si="14"/>
        <v>24</v>
      </c>
      <c r="C93" s="32" t="s">
        <v>159</v>
      </c>
      <c r="D93" s="33" t="s">
        <v>160</v>
      </c>
      <c r="E93" s="34">
        <v>45107</v>
      </c>
      <c r="F93" s="35">
        <f>175.407648*G93</f>
        <v>1754.0764799999999</v>
      </c>
      <c r="G93" s="36">
        <v>10</v>
      </c>
      <c r="H93" s="37">
        <f>+F93/G93</f>
        <v>175.40764799999999</v>
      </c>
      <c r="I93" s="35">
        <v>9794.0041959999999</v>
      </c>
      <c r="J93" s="35">
        <v>31953.239258000001</v>
      </c>
      <c r="K93" s="35">
        <v>5903.5133850000002</v>
      </c>
      <c r="L93" s="35">
        <v>3157.8312139999998</v>
      </c>
      <c r="M93" s="35">
        <v>2029.035717</v>
      </c>
      <c r="N93" s="37">
        <f t="shared" si="12"/>
        <v>818.30292699999995</v>
      </c>
      <c r="O93" s="35">
        <v>1210.73279</v>
      </c>
      <c r="P93" s="38">
        <f>20+20</f>
        <v>40</v>
      </c>
      <c r="Q93" s="38">
        <v>0</v>
      </c>
      <c r="R93" s="39">
        <f>SUM(P93:Q93)</f>
        <v>40</v>
      </c>
      <c r="S93" s="38"/>
      <c r="T93" s="40">
        <v>3746</v>
      </c>
    </row>
    <row r="94" spans="2:20" ht="15.6" x14ac:dyDescent="0.3">
      <c r="B94" s="32">
        <f t="shared" si="14"/>
        <v>25</v>
      </c>
      <c r="C94" s="32" t="s">
        <v>161</v>
      </c>
      <c r="D94" s="33" t="s">
        <v>162</v>
      </c>
      <c r="E94" s="34">
        <v>45107</v>
      </c>
      <c r="F94" s="35">
        <f>801.4766*G94</f>
        <v>8014.7659999999996</v>
      </c>
      <c r="G94" s="36">
        <v>10</v>
      </c>
      <c r="H94" s="37">
        <f t="shared" si="11"/>
        <v>801.47659999999996</v>
      </c>
      <c r="I94" s="35">
        <v>10396.162</v>
      </c>
      <c r="J94" s="35">
        <v>13036.281999999999</v>
      </c>
      <c r="K94" s="35">
        <v>1464.537</v>
      </c>
      <c r="L94" s="35">
        <v>0</v>
      </c>
      <c r="M94" s="35">
        <v>249.74600000000001</v>
      </c>
      <c r="N94" s="37">
        <f t="shared" si="12"/>
        <v>29.957000000000022</v>
      </c>
      <c r="O94" s="35">
        <v>219.78899999999999</v>
      </c>
      <c r="P94" s="38">
        <v>0</v>
      </c>
      <c r="Q94" s="38">
        <v>0</v>
      </c>
      <c r="R94" s="39">
        <f t="shared" si="13"/>
        <v>0</v>
      </c>
      <c r="S94" s="38"/>
      <c r="T94" s="40">
        <v>2545</v>
      </c>
    </row>
    <row r="95" spans="2:20" ht="15.6" x14ac:dyDescent="0.3">
      <c r="B95" s="32">
        <f t="shared" si="14"/>
        <v>26</v>
      </c>
      <c r="C95" s="32" t="s">
        <v>163</v>
      </c>
      <c r="D95" s="33" t="s">
        <v>164</v>
      </c>
      <c r="E95" s="34">
        <v>45291</v>
      </c>
      <c r="F95" s="35">
        <v>514.33559000000002</v>
      </c>
      <c r="G95" s="36">
        <v>10</v>
      </c>
      <c r="H95" s="37">
        <f t="shared" si="11"/>
        <v>51.433559000000002</v>
      </c>
      <c r="I95" s="35">
        <v>787.78751499999998</v>
      </c>
      <c r="J95" s="35">
        <v>836.17009800000005</v>
      </c>
      <c r="K95" s="35">
        <v>126.260965</v>
      </c>
      <c r="L95" s="35">
        <v>0</v>
      </c>
      <c r="M95" s="35">
        <v>121.863079</v>
      </c>
      <c r="N95" s="37">
        <f t="shared" si="12"/>
        <v>42.088509999999999</v>
      </c>
      <c r="O95" s="35">
        <v>79.774569</v>
      </c>
      <c r="P95" s="38">
        <v>5</v>
      </c>
      <c r="Q95" s="38">
        <v>15</v>
      </c>
      <c r="R95" s="39">
        <f t="shared" si="13"/>
        <v>20</v>
      </c>
      <c r="S95" s="38"/>
      <c r="T95" s="40">
        <v>2079</v>
      </c>
    </row>
    <row r="96" spans="2:20" ht="15.6" x14ac:dyDescent="0.3">
      <c r="B96" s="32">
        <f t="shared" si="14"/>
        <v>27</v>
      </c>
      <c r="C96" s="32" t="s">
        <v>165</v>
      </c>
      <c r="D96" s="33" t="s">
        <v>166</v>
      </c>
      <c r="E96" s="34">
        <v>45107</v>
      </c>
      <c r="F96" s="35">
        <f>30*G96</f>
        <v>300</v>
      </c>
      <c r="G96" s="36">
        <v>10</v>
      </c>
      <c r="H96" s="37">
        <f t="shared" si="11"/>
        <v>30</v>
      </c>
      <c r="I96" s="35">
        <v>279.17811999999998</v>
      </c>
      <c r="J96" s="35">
        <v>494.19682599999999</v>
      </c>
      <c r="K96" s="35">
        <f>141.803751+26.936758</f>
        <v>168.740509</v>
      </c>
      <c r="L96" s="35">
        <v>7.2008780000000003</v>
      </c>
      <c r="M96" s="35">
        <v>-10.063855999999999</v>
      </c>
      <c r="N96" s="37">
        <f t="shared" si="12"/>
        <v>0.20481299999999969</v>
      </c>
      <c r="O96" s="35">
        <v>-10.268668999999999</v>
      </c>
      <c r="P96" s="38">
        <v>0</v>
      </c>
      <c r="Q96" s="38">
        <v>0</v>
      </c>
      <c r="R96" s="39">
        <f t="shared" si="13"/>
        <v>0</v>
      </c>
      <c r="S96" s="38"/>
      <c r="T96" s="40">
        <v>814</v>
      </c>
    </row>
    <row r="97" spans="2:20" ht="15.6" x14ac:dyDescent="0.3">
      <c r="B97" s="27"/>
      <c r="C97" s="27"/>
      <c r="D97" s="27"/>
      <c r="E97" s="27"/>
      <c r="F97" s="27"/>
      <c r="G97" s="42"/>
      <c r="H97" s="43"/>
      <c r="I97" s="29"/>
      <c r="J97" s="29"/>
      <c r="K97" s="29"/>
      <c r="L97" s="29"/>
      <c r="M97" s="29"/>
      <c r="N97" s="44"/>
      <c r="O97" s="29"/>
      <c r="P97" s="29"/>
      <c r="Q97" s="29"/>
      <c r="R97" s="44"/>
      <c r="S97" s="29"/>
      <c r="T97" s="29"/>
    </row>
    <row r="98" spans="2:20" ht="18" x14ac:dyDescent="0.35">
      <c r="B98" s="27"/>
      <c r="C98" s="27"/>
      <c r="D98" s="55" t="s">
        <v>43</v>
      </c>
      <c r="E98" s="27"/>
      <c r="F98" s="27"/>
      <c r="G98" s="42"/>
      <c r="H98" s="43"/>
      <c r="I98" s="29"/>
      <c r="J98" s="29"/>
      <c r="K98" s="29"/>
      <c r="L98" s="29"/>
      <c r="M98" s="29"/>
      <c r="N98" s="44"/>
      <c r="O98" s="29"/>
      <c r="P98" s="29"/>
      <c r="Q98" s="29"/>
      <c r="R98" s="44"/>
      <c r="S98" s="29"/>
      <c r="T98" s="29"/>
    </row>
    <row r="99" spans="2:20" ht="15.6" x14ac:dyDescent="0.3">
      <c r="B99" s="32">
        <v>1</v>
      </c>
      <c r="C99" s="32" t="s">
        <v>167</v>
      </c>
      <c r="D99" s="45" t="s">
        <v>168</v>
      </c>
      <c r="E99" s="34">
        <v>45107</v>
      </c>
      <c r="F99" s="35"/>
      <c r="G99" s="36">
        <v>10</v>
      </c>
      <c r="H99" s="37">
        <f t="shared" ref="H99:H103" si="16">+F99/G99</f>
        <v>0</v>
      </c>
      <c r="I99" s="35"/>
      <c r="J99" s="35"/>
      <c r="K99" s="35"/>
      <c r="L99" s="35"/>
      <c r="M99" s="35"/>
      <c r="N99" s="37">
        <f t="shared" ref="N99:N103" si="17">+M99-O99</f>
        <v>0</v>
      </c>
      <c r="O99" s="35"/>
      <c r="P99" s="38"/>
      <c r="Q99" s="38"/>
      <c r="R99" s="39">
        <f t="shared" ref="R99:R103" si="18">SUM(P99:Q99)</f>
        <v>0</v>
      </c>
      <c r="S99" s="38"/>
      <c r="T99" s="40"/>
    </row>
    <row r="100" spans="2:20" ht="15.6" x14ac:dyDescent="0.3">
      <c r="B100" s="32">
        <f>+B99+1</f>
        <v>2</v>
      </c>
      <c r="C100" s="32" t="s">
        <v>169</v>
      </c>
      <c r="D100" s="33" t="s">
        <v>170</v>
      </c>
      <c r="E100" s="34">
        <v>45107</v>
      </c>
      <c r="F100" s="35">
        <f>141.3355*G100</f>
        <v>1413.355</v>
      </c>
      <c r="G100" s="36">
        <v>10</v>
      </c>
      <c r="H100" s="37">
        <f t="shared" si="16"/>
        <v>141.3355</v>
      </c>
      <c r="I100" s="35">
        <v>334.76696099999998</v>
      </c>
      <c r="J100" s="35">
        <v>1350.9924000000001</v>
      </c>
      <c r="K100" s="35">
        <v>-17.073360000000001</v>
      </c>
      <c r="L100" s="35">
        <v>8.7170000000000008E-3</v>
      </c>
      <c r="M100" s="35">
        <v>-18.07676</v>
      </c>
      <c r="N100" s="37">
        <f t="shared" si="17"/>
        <v>0</v>
      </c>
      <c r="O100" s="35">
        <v>-18.07676</v>
      </c>
      <c r="P100" s="38">
        <v>0</v>
      </c>
      <c r="Q100" s="38">
        <v>0</v>
      </c>
      <c r="R100" s="39">
        <f t="shared" si="18"/>
        <v>0</v>
      </c>
      <c r="S100" s="38"/>
      <c r="T100" s="40">
        <v>297</v>
      </c>
    </row>
    <row r="101" spans="2:20" ht="15.6" x14ac:dyDescent="0.3">
      <c r="B101" s="32">
        <f>+B100+1</f>
        <v>3</v>
      </c>
      <c r="C101" s="32" t="s">
        <v>171</v>
      </c>
      <c r="D101" s="33" t="s">
        <v>172</v>
      </c>
      <c r="E101" s="34">
        <v>45107</v>
      </c>
      <c r="F101" s="35">
        <f>186.568487*G101</f>
        <v>1865.68487</v>
      </c>
      <c r="G101" s="36">
        <v>10</v>
      </c>
      <c r="H101" s="37">
        <f t="shared" si="16"/>
        <v>186.568487</v>
      </c>
      <c r="I101" s="35">
        <v>-563.43607299999996</v>
      </c>
      <c r="J101" s="35">
        <f>78.790934+4.863965</f>
        <v>83.654899</v>
      </c>
      <c r="K101" s="35">
        <v>0.6</v>
      </c>
      <c r="L101" s="35">
        <v>5.0900000000000001E-4</v>
      </c>
      <c r="M101" s="35">
        <v>-2.5357630000000002</v>
      </c>
      <c r="N101" s="37">
        <f t="shared" si="17"/>
        <v>5.9999999999999609E-2</v>
      </c>
      <c r="O101" s="35">
        <v>-2.5957629999999998</v>
      </c>
      <c r="P101" s="38">
        <v>0</v>
      </c>
      <c r="Q101" s="38">
        <v>0</v>
      </c>
      <c r="R101" s="39">
        <f t="shared" si="18"/>
        <v>0</v>
      </c>
      <c r="S101" s="38"/>
      <c r="T101" s="40">
        <v>6634</v>
      </c>
    </row>
    <row r="102" spans="2:20" ht="15.6" x14ac:dyDescent="0.3">
      <c r="B102" s="32">
        <f>+B101+1</f>
        <v>4</v>
      </c>
      <c r="C102" s="32" t="s">
        <v>173</v>
      </c>
      <c r="D102" s="33" t="s">
        <v>174</v>
      </c>
      <c r="E102" s="34">
        <v>45107</v>
      </c>
      <c r="F102" s="35"/>
      <c r="G102" s="36">
        <v>10</v>
      </c>
      <c r="H102" s="37">
        <f t="shared" si="16"/>
        <v>0</v>
      </c>
      <c r="I102" s="35"/>
      <c r="J102" s="35"/>
      <c r="K102" s="35"/>
      <c r="L102" s="35"/>
      <c r="M102" s="35"/>
      <c r="N102" s="37">
        <f t="shared" si="17"/>
        <v>0</v>
      </c>
      <c r="O102" s="35"/>
      <c r="P102" s="38"/>
      <c r="Q102" s="38"/>
      <c r="R102" s="39">
        <f t="shared" si="18"/>
        <v>0</v>
      </c>
      <c r="S102" s="38"/>
      <c r="T102" s="40"/>
    </row>
    <row r="103" spans="2:20" ht="15.6" x14ac:dyDescent="0.3">
      <c r="B103" s="32">
        <f t="shared" ref="B103" si="19">+B102+1</f>
        <v>5</v>
      </c>
      <c r="C103" s="32" t="s">
        <v>175</v>
      </c>
      <c r="D103" s="33" t="s">
        <v>176</v>
      </c>
      <c r="E103" s="34">
        <v>45107</v>
      </c>
      <c r="F103" s="35"/>
      <c r="G103" s="36">
        <v>10</v>
      </c>
      <c r="H103" s="37">
        <f t="shared" si="16"/>
        <v>0</v>
      </c>
      <c r="I103" s="35"/>
      <c r="J103" s="35"/>
      <c r="K103" s="35"/>
      <c r="L103" s="35"/>
      <c r="M103" s="35"/>
      <c r="N103" s="37">
        <f t="shared" si="17"/>
        <v>0</v>
      </c>
      <c r="O103" s="35"/>
      <c r="P103" s="38"/>
      <c r="Q103" s="38"/>
      <c r="R103" s="39">
        <f t="shared" si="18"/>
        <v>0</v>
      </c>
      <c r="S103" s="38"/>
      <c r="T103" s="40"/>
    </row>
    <row r="104" spans="2:20" ht="15.6" x14ac:dyDescent="0.3">
      <c r="B104" s="27"/>
      <c r="C104" s="27"/>
      <c r="D104" s="27"/>
      <c r="E104" s="27"/>
      <c r="F104" s="27"/>
      <c r="G104" s="42"/>
      <c r="H104" s="43"/>
      <c r="I104" s="29"/>
      <c r="J104" s="29"/>
      <c r="K104" s="29"/>
      <c r="L104" s="29"/>
      <c r="M104" s="29"/>
      <c r="N104" s="44"/>
      <c r="O104" s="29"/>
      <c r="P104" s="29"/>
      <c r="Q104" s="29"/>
      <c r="R104" s="44"/>
      <c r="S104" s="29"/>
      <c r="T104" s="29"/>
    </row>
    <row r="105" spans="2:20" ht="15.6" x14ac:dyDescent="0.3">
      <c r="B105" s="46">
        <f>COUNT(B70:B104)</f>
        <v>32</v>
      </c>
      <c r="C105" s="46"/>
      <c r="D105" s="47"/>
      <c r="E105" s="47"/>
      <c r="F105" s="47">
        <f>SUM(F70:F104)</f>
        <v>52559.626800000005</v>
      </c>
      <c r="G105" s="48"/>
      <c r="H105" s="49">
        <f>SUM(H70:H104)</f>
        <v>5255.9626800000005</v>
      </c>
      <c r="I105" s="47">
        <f>SUM(I70:I104)</f>
        <v>120612.755472</v>
      </c>
      <c r="J105" s="47">
        <f>SUM(J70:J104)</f>
        <v>172087.24436399998</v>
      </c>
      <c r="K105" s="47">
        <f>SUM(K70:K104)</f>
        <v>32164.546758000008</v>
      </c>
      <c r="L105" s="47">
        <f>SUM(L70:L104)</f>
        <v>5274.1491960000003</v>
      </c>
      <c r="M105" s="47">
        <f>SUM(M70:M104)</f>
        <v>20221.861475999995</v>
      </c>
      <c r="N105" s="50">
        <f>SUM(N70:N104)</f>
        <v>6264.338885000001</v>
      </c>
      <c r="O105" s="47">
        <f>SUM(O70:O104)</f>
        <v>13957.522591000001</v>
      </c>
      <c r="P105" s="51"/>
      <c r="Q105" s="51"/>
      <c r="R105" s="52"/>
      <c r="S105" s="51"/>
      <c r="T105" s="53">
        <f>SUM(T70:T104)</f>
        <v>73394</v>
      </c>
    </row>
    <row r="106" spans="2:20" ht="15.6" x14ac:dyDescent="0.3">
      <c r="B106" s="27"/>
      <c r="C106" s="27"/>
      <c r="D106" s="27"/>
      <c r="E106" s="27"/>
      <c r="F106" s="27"/>
      <c r="G106" s="42"/>
      <c r="H106" s="43"/>
      <c r="I106" s="29"/>
      <c r="J106" s="29"/>
      <c r="K106" s="29"/>
      <c r="L106" s="29"/>
      <c r="M106" s="29"/>
      <c r="N106" s="44"/>
      <c r="O106" s="29"/>
      <c r="P106" s="29"/>
      <c r="Q106" s="29"/>
      <c r="R106" s="44"/>
      <c r="S106" s="29"/>
      <c r="T106" s="29"/>
    </row>
    <row r="107" spans="2:20" ht="15.6" x14ac:dyDescent="0.3">
      <c r="B107" s="27"/>
      <c r="C107" s="27"/>
      <c r="D107" s="27"/>
      <c r="E107" s="27"/>
      <c r="F107" s="27"/>
      <c r="G107" s="42"/>
      <c r="H107" s="43"/>
      <c r="I107" s="29"/>
      <c r="J107" s="29"/>
      <c r="K107" s="29"/>
      <c r="L107" s="29"/>
      <c r="M107" s="29"/>
      <c r="N107" s="44"/>
      <c r="O107" s="29"/>
      <c r="P107" s="29"/>
      <c r="Q107" s="29"/>
      <c r="R107" s="44"/>
      <c r="S107" s="29"/>
      <c r="T107" s="29"/>
    </row>
    <row r="108" spans="2:20" ht="18" x14ac:dyDescent="0.35">
      <c r="B108" s="27"/>
      <c r="C108" s="31">
        <v>5</v>
      </c>
      <c r="D108" s="31" t="s">
        <v>177</v>
      </c>
      <c r="E108" s="60"/>
      <c r="F108" s="60"/>
      <c r="G108" s="42"/>
      <c r="H108" s="43"/>
      <c r="I108" s="29"/>
      <c r="J108" s="29"/>
      <c r="K108" s="29"/>
      <c r="L108" s="29"/>
      <c r="M108" s="29"/>
      <c r="N108" s="44"/>
      <c r="O108" s="29"/>
      <c r="P108" s="29"/>
      <c r="Q108" s="29"/>
      <c r="R108" s="44"/>
      <c r="S108" s="29"/>
      <c r="T108" s="29"/>
    </row>
    <row r="109" spans="2:20" ht="15.6" x14ac:dyDescent="0.3">
      <c r="B109" s="27"/>
      <c r="C109" s="27"/>
      <c r="D109" s="27"/>
      <c r="E109" s="27"/>
      <c r="F109" s="27"/>
      <c r="G109" s="42"/>
      <c r="H109" s="43"/>
      <c r="I109" s="29"/>
      <c r="J109" s="29"/>
      <c r="K109" s="29"/>
      <c r="L109" s="29"/>
      <c r="M109" s="29"/>
      <c r="N109" s="44"/>
      <c r="O109" s="29"/>
      <c r="P109" s="29"/>
      <c r="Q109" s="29"/>
      <c r="R109" s="44"/>
      <c r="S109" s="29"/>
      <c r="T109" s="29"/>
    </row>
    <row r="110" spans="2:20" ht="15.6" x14ac:dyDescent="0.3">
      <c r="B110" s="59">
        <v>1</v>
      </c>
      <c r="C110" s="59" t="s">
        <v>178</v>
      </c>
      <c r="D110" s="33" t="s">
        <v>179</v>
      </c>
      <c r="E110" s="34">
        <v>45291</v>
      </c>
      <c r="F110" s="35">
        <v>11450.738300000001</v>
      </c>
      <c r="G110" s="36">
        <v>10</v>
      </c>
      <c r="H110" s="37">
        <f t="shared" ref="H110:H129" si="20">+F110/G110</f>
        <v>1145.07383</v>
      </c>
      <c r="I110" s="35">
        <v>194254.46400000001</v>
      </c>
      <c r="J110" s="35">
        <v>2329316.6549999998</v>
      </c>
      <c r="K110" s="35">
        <f>357307.44+24427.041</f>
        <v>381734.48100000003</v>
      </c>
      <c r="L110" s="35">
        <v>0</v>
      </c>
      <c r="M110" s="35">
        <v>85757.17</v>
      </c>
      <c r="N110" s="37">
        <f t="shared" ref="N110:N129" si="21">+M110-O110</f>
        <v>45074.182999999997</v>
      </c>
      <c r="O110" s="35">
        <v>40682.987000000001</v>
      </c>
      <c r="P110" s="38">
        <f>25+25+30+40</f>
        <v>120</v>
      </c>
      <c r="Q110" s="38">
        <v>0</v>
      </c>
      <c r="R110" s="39">
        <f t="shared" ref="R110:R129" si="22">SUM(P110:Q110)</f>
        <v>120</v>
      </c>
      <c r="S110" s="38"/>
      <c r="T110" s="40">
        <v>18925</v>
      </c>
    </row>
    <row r="111" spans="2:20" ht="15.6" x14ac:dyDescent="0.3">
      <c r="B111" s="59">
        <f>+B110+1</f>
        <v>2</v>
      </c>
      <c r="C111" s="32" t="s">
        <v>180</v>
      </c>
      <c r="D111" s="33" t="s">
        <v>181</v>
      </c>
      <c r="E111" s="34">
        <v>45291</v>
      </c>
      <c r="F111" s="35">
        <v>14492.99207</v>
      </c>
      <c r="G111" s="36">
        <v>10</v>
      </c>
      <c r="H111" s="37">
        <f t="shared" si="20"/>
        <v>1449.299207</v>
      </c>
      <c r="I111" s="35">
        <v>97122.820999999996</v>
      </c>
      <c r="J111" s="35">
        <v>2124005.9589999998</v>
      </c>
      <c r="K111" s="35">
        <f>305636.456+12935.951</f>
        <v>318572.40700000001</v>
      </c>
      <c r="L111" s="35">
        <v>0</v>
      </c>
      <c r="M111" s="35">
        <v>42044.463000000003</v>
      </c>
      <c r="N111" s="37">
        <f t="shared" si="21"/>
        <v>20609.804000000004</v>
      </c>
      <c r="O111" s="35">
        <v>21434.659</v>
      </c>
      <c r="P111" s="38">
        <v>25</v>
      </c>
      <c r="Q111" s="38">
        <v>0</v>
      </c>
      <c r="R111" s="39">
        <f t="shared" si="22"/>
        <v>25</v>
      </c>
      <c r="S111" s="38"/>
      <c r="T111" s="40">
        <v>14194</v>
      </c>
    </row>
    <row r="112" spans="2:20" ht="15.6" x14ac:dyDescent="0.3">
      <c r="B112" s="59">
        <f t="shared" ref="B112:B129" si="23">+B111+1</f>
        <v>3</v>
      </c>
      <c r="C112" s="32" t="s">
        <v>182</v>
      </c>
      <c r="D112" s="33" t="s">
        <v>183</v>
      </c>
      <c r="E112" s="34">
        <v>45291</v>
      </c>
      <c r="F112" s="35">
        <v>15771.65119</v>
      </c>
      <c r="G112" s="36">
        <v>10</v>
      </c>
      <c r="H112" s="37">
        <f t="shared" si="20"/>
        <v>1577.165119</v>
      </c>
      <c r="I112" s="35">
        <v>137922.83300000001</v>
      </c>
      <c r="J112" s="35">
        <v>3345916.827</v>
      </c>
      <c r="K112" s="35">
        <f>411947.673+28063.923</f>
        <v>440011.59600000002</v>
      </c>
      <c r="L112" s="35">
        <v>0</v>
      </c>
      <c r="M112" s="35">
        <v>78175.06</v>
      </c>
      <c r="N112" s="37">
        <f t="shared" si="21"/>
        <v>41718.687999999995</v>
      </c>
      <c r="O112" s="35">
        <v>36456.372000000003</v>
      </c>
      <c r="P112" s="38">
        <f>30+50</f>
        <v>80</v>
      </c>
      <c r="Q112" s="38">
        <v>0</v>
      </c>
      <c r="R112" s="39">
        <f t="shared" si="22"/>
        <v>80</v>
      </c>
      <c r="S112" s="38"/>
      <c r="T112" s="40">
        <v>11595</v>
      </c>
    </row>
    <row r="113" spans="2:20" ht="15.6" x14ac:dyDescent="0.3">
      <c r="B113" s="59">
        <f t="shared" si="23"/>
        <v>4</v>
      </c>
      <c r="C113" s="32" t="s">
        <v>184</v>
      </c>
      <c r="D113" s="33" t="s">
        <v>185</v>
      </c>
      <c r="E113" s="34">
        <v>45291</v>
      </c>
      <c r="F113" s="35">
        <v>11114.25419</v>
      </c>
      <c r="G113" s="36">
        <v>10</v>
      </c>
      <c r="H113" s="37">
        <f t="shared" si="20"/>
        <v>1111.4254189999999</v>
      </c>
      <c r="I113" s="35">
        <v>126606.79300000001</v>
      </c>
      <c r="J113" s="35">
        <v>2741020.1129999999</v>
      </c>
      <c r="K113" s="35">
        <f>373902.458+23227.257</f>
        <v>397129.71499999997</v>
      </c>
      <c r="L113" s="35">
        <v>0</v>
      </c>
      <c r="M113" s="35">
        <v>71127.956999999995</v>
      </c>
      <c r="N113" s="37">
        <f t="shared" si="21"/>
        <v>35808.580999999998</v>
      </c>
      <c r="O113" s="35">
        <v>35319.375999999997</v>
      </c>
      <c r="P113" s="38">
        <f>45+45+50</f>
        <v>140</v>
      </c>
      <c r="Q113" s="38">
        <v>0</v>
      </c>
      <c r="R113" s="39">
        <f t="shared" si="22"/>
        <v>140</v>
      </c>
      <c r="S113" s="38"/>
      <c r="T113" s="40">
        <v>7495</v>
      </c>
    </row>
    <row r="114" spans="2:20" ht="15.6" x14ac:dyDescent="0.3">
      <c r="B114" s="59">
        <f t="shared" si="23"/>
        <v>5</v>
      </c>
      <c r="C114" s="32" t="s">
        <v>186</v>
      </c>
      <c r="D114" s="33" t="s">
        <v>187</v>
      </c>
      <c r="E114" s="34">
        <v>45291</v>
      </c>
      <c r="F114" s="35">
        <v>11007.991</v>
      </c>
      <c r="G114" s="36">
        <v>10</v>
      </c>
      <c r="H114" s="37">
        <f t="shared" si="20"/>
        <v>1100.7991</v>
      </c>
      <c r="I114" s="35">
        <v>36465.917999999998</v>
      </c>
      <c r="J114" s="35">
        <v>654865.89599999995</v>
      </c>
      <c r="K114" s="35">
        <f>92756.237+3310.597</f>
        <v>96066.833999999988</v>
      </c>
      <c r="L114" s="35">
        <v>0</v>
      </c>
      <c r="M114" s="35">
        <v>20523.397000000001</v>
      </c>
      <c r="N114" s="37">
        <f t="shared" si="21"/>
        <v>9478.2980000000007</v>
      </c>
      <c r="O114" s="35">
        <v>11045.099</v>
      </c>
      <c r="P114" s="38">
        <f>17.5+10</f>
        <v>27.5</v>
      </c>
      <c r="Q114" s="38">
        <v>0</v>
      </c>
      <c r="R114" s="39">
        <f t="shared" si="22"/>
        <v>27.5</v>
      </c>
      <c r="S114" s="38"/>
      <c r="T114" s="40">
        <v>20575</v>
      </c>
    </row>
    <row r="115" spans="2:20" ht="15.6" x14ac:dyDescent="0.3">
      <c r="B115" s="59">
        <f t="shared" si="23"/>
        <v>6</v>
      </c>
      <c r="C115" s="32" t="s">
        <v>188</v>
      </c>
      <c r="D115" s="33" t="s">
        <v>189</v>
      </c>
      <c r="E115" s="34">
        <v>45291</v>
      </c>
      <c r="F115" s="35">
        <v>30500.207999999999</v>
      </c>
      <c r="G115" s="36">
        <v>10</v>
      </c>
      <c r="H115" s="37">
        <f t="shared" si="20"/>
        <v>3050.0207999999998</v>
      </c>
      <c r="I115" s="35">
        <v>-12812.566000000001</v>
      </c>
      <c r="J115" s="35">
        <v>288624.26699999999</v>
      </c>
      <c r="K115" s="35">
        <f>31700.037+1197.237</f>
        <v>32897.273999999998</v>
      </c>
      <c r="L115" s="35">
        <v>0</v>
      </c>
      <c r="M115" s="35">
        <v>-7390.83</v>
      </c>
      <c r="N115" s="37">
        <f t="shared" si="21"/>
        <v>-2072.2139999999999</v>
      </c>
      <c r="O115" s="35">
        <v>-5318.616</v>
      </c>
      <c r="P115" s="38">
        <v>0</v>
      </c>
      <c r="Q115" s="38">
        <v>0</v>
      </c>
      <c r="R115" s="39">
        <f t="shared" si="22"/>
        <v>0</v>
      </c>
      <c r="S115" s="38"/>
      <c r="T115" s="40">
        <v>41362</v>
      </c>
    </row>
    <row r="116" spans="2:20" ht="15.6" x14ac:dyDescent="0.3">
      <c r="B116" s="59">
        <f t="shared" si="23"/>
        <v>7</v>
      </c>
      <c r="C116" s="32" t="s">
        <v>190</v>
      </c>
      <c r="D116" s="33" t="s">
        <v>191</v>
      </c>
      <c r="E116" s="34">
        <v>45291</v>
      </c>
      <c r="F116" s="35">
        <v>11027.905000000001</v>
      </c>
      <c r="G116" s="36">
        <v>10</v>
      </c>
      <c r="H116" s="37">
        <f t="shared" si="20"/>
        <v>1102.7905000000001</v>
      </c>
      <c r="I116" s="35">
        <v>20301.284</v>
      </c>
      <c r="J116" s="35">
        <v>383186.484</v>
      </c>
      <c r="K116" s="35">
        <f>59070.281+2108.951</f>
        <v>61179.232000000004</v>
      </c>
      <c r="L116" s="35">
        <v>0</v>
      </c>
      <c r="M116" s="35">
        <v>6701.5810000000001</v>
      </c>
      <c r="N116" s="37">
        <f t="shared" si="21"/>
        <v>3220.3040000000001</v>
      </c>
      <c r="O116" s="35">
        <v>3481.277</v>
      </c>
      <c r="P116" s="38">
        <v>15</v>
      </c>
      <c r="Q116" s="38">
        <v>5</v>
      </c>
      <c r="R116" s="39">
        <f t="shared" si="22"/>
        <v>20</v>
      </c>
      <c r="S116" s="38"/>
      <c r="T116" s="40">
        <v>27659</v>
      </c>
    </row>
    <row r="117" spans="2:20" ht="15.6" x14ac:dyDescent="0.3">
      <c r="B117" s="59">
        <f t="shared" si="23"/>
        <v>8</v>
      </c>
      <c r="C117" s="32" t="s">
        <v>192</v>
      </c>
      <c r="D117" s="33" t="s">
        <v>193</v>
      </c>
      <c r="E117" s="34">
        <v>45291</v>
      </c>
      <c r="F117" s="35">
        <v>32452.535</v>
      </c>
      <c r="G117" s="36">
        <v>10</v>
      </c>
      <c r="H117" s="37">
        <f t="shared" si="20"/>
        <v>3245.2534999999998</v>
      </c>
      <c r="I117" s="35">
        <v>80754.611999999994</v>
      </c>
      <c r="J117" s="35">
        <v>2216179.9900000002</v>
      </c>
      <c r="K117" s="35">
        <f>327193.801+17717.531</f>
        <v>344911.33199999999</v>
      </c>
      <c r="L117" s="35">
        <v>0</v>
      </c>
      <c r="M117" s="35">
        <v>21217.917000000001</v>
      </c>
      <c r="N117" s="37">
        <f t="shared" si="21"/>
        <v>9878.7320000000018</v>
      </c>
      <c r="O117" s="35">
        <v>11339.184999999999</v>
      </c>
      <c r="P117" s="38">
        <v>10</v>
      </c>
      <c r="Q117" s="38">
        <v>0</v>
      </c>
      <c r="R117" s="39">
        <f t="shared" si="22"/>
        <v>10</v>
      </c>
      <c r="S117" s="38"/>
      <c r="T117" s="40">
        <v>19691</v>
      </c>
    </row>
    <row r="118" spans="2:20" ht="15.6" x14ac:dyDescent="0.3">
      <c r="B118" s="59">
        <f t="shared" si="23"/>
        <v>9</v>
      </c>
      <c r="C118" s="32" t="s">
        <v>194</v>
      </c>
      <c r="D118" s="33" t="s">
        <v>195</v>
      </c>
      <c r="E118" s="34">
        <v>45291</v>
      </c>
      <c r="F118" s="35">
        <v>15176.965260000001</v>
      </c>
      <c r="G118" s="36">
        <v>10</v>
      </c>
      <c r="H118" s="37">
        <f t="shared" si="20"/>
        <v>1517.6965260000002</v>
      </c>
      <c r="I118" s="35">
        <v>90198.361000000004</v>
      </c>
      <c r="J118" s="35">
        <v>1370073.55</v>
      </c>
      <c r="K118" s="35">
        <f>189448.411+12088.785</f>
        <v>201537.196</v>
      </c>
      <c r="L118" s="35">
        <v>0</v>
      </c>
      <c r="M118" s="35">
        <v>41421.534</v>
      </c>
      <c r="N118" s="37">
        <f t="shared" si="21"/>
        <v>21375.595000000001</v>
      </c>
      <c r="O118" s="35">
        <v>20045.938999999998</v>
      </c>
      <c r="P118" s="38">
        <f>10+10+20</f>
        <v>40</v>
      </c>
      <c r="Q118" s="38">
        <v>0</v>
      </c>
      <c r="R118" s="39">
        <f t="shared" si="22"/>
        <v>40</v>
      </c>
      <c r="S118" s="38"/>
      <c r="T118" s="40">
        <v>16938</v>
      </c>
    </row>
    <row r="119" spans="2:20" ht="15.6" x14ac:dyDescent="0.3">
      <c r="B119" s="59">
        <f t="shared" si="23"/>
        <v>10</v>
      </c>
      <c r="C119" s="32" t="s">
        <v>196</v>
      </c>
      <c r="D119" s="33" t="s">
        <v>197</v>
      </c>
      <c r="E119" s="34">
        <v>45291</v>
      </c>
      <c r="F119" s="35">
        <v>14668.525079999999</v>
      </c>
      <c r="G119" s="36">
        <v>10</v>
      </c>
      <c r="H119" s="37">
        <f t="shared" si="20"/>
        <v>1466.8525079999999</v>
      </c>
      <c r="I119" s="35">
        <v>333779.408</v>
      </c>
      <c r="J119" s="35">
        <v>5201671.1629999997</v>
      </c>
      <c r="K119" s="35">
        <f>670134.034+53902.252</f>
        <v>724036.28599999996</v>
      </c>
      <c r="L119" s="35">
        <v>0</v>
      </c>
      <c r="M119" s="35">
        <v>111737.068</v>
      </c>
      <c r="N119" s="37">
        <f t="shared" si="21"/>
        <v>54881.072999999997</v>
      </c>
      <c r="O119" s="35">
        <v>56855.995000000003</v>
      </c>
      <c r="P119" s="38">
        <f>15+20+22.5+40</f>
        <v>97.5</v>
      </c>
      <c r="Q119" s="38">
        <v>0</v>
      </c>
      <c r="R119" s="39">
        <f t="shared" si="22"/>
        <v>97.5</v>
      </c>
      <c r="S119" s="38"/>
      <c r="T119" s="40">
        <v>90616</v>
      </c>
    </row>
    <row r="120" spans="2:20" ht="15.6" x14ac:dyDescent="0.3">
      <c r="B120" s="59">
        <f t="shared" si="23"/>
        <v>11</v>
      </c>
      <c r="C120" s="32" t="s">
        <v>198</v>
      </c>
      <c r="D120" s="33" t="s">
        <v>199</v>
      </c>
      <c r="E120" s="34">
        <v>45291</v>
      </c>
      <c r="F120" s="35">
        <v>10478.3148</v>
      </c>
      <c r="G120" s="36">
        <v>10</v>
      </c>
      <c r="H120" s="37">
        <f t="shared" si="20"/>
        <v>1047.8314800000001</v>
      </c>
      <c r="I120" s="35">
        <v>93275.332999999999</v>
      </c>
      <c r="J120" s="35">
        <v>1556417.0870000001</v>
      </c>
      <c r="K120" s="35">
        <f>205612.424+15294.54</f>
        <v>220906.96400000001</v>
      </c>
      <c r="L120" s="35">
        <v>0</v>
      </c>
      <c r="M120" s="35">
        <v>51995.212</v>
      </c>
      <c r="N120" s="37">
        <f t="shared" si="21"/>
        <v>27611.394</v>
      </c>
      <c r="O120" s="35">
        <v>24383.817999999999</v>
      </c>
      <c r="P120" s="38">
        <f>50+55</f>
        <v>105</v>
      </c>
      <c r="Q120" s="38">
        <v>0</v>
      </c>
      <c r="R120" s="39">
        <f t="shared" si="22"/>
        <v>105</v>
      </c>
      <c r="S120" s="38"/>
      <c r="T120" s="40">
        <v>2869</v>
      </c>
    </row>
    <row r="121" spans="2:20" ht="15.6" x14ac:dyDescent="0.3">
      <c r="B121" s="59">
        <f t="shared" si="23"/>
        <v>12</v>
      </c>
      <c r="C121" s="32" t="s">
        <v>200</v>
      </c>
      <c r="D121" s="33" t="s">
        <v>201</v>
      </c>
      <c r="E121" s="34">
        <v>45291</v>
      </c>
      <c r="F121" s="35">
        <v>20506.625359999998</v>
      </c>
      <c r="G121" s="36">
        <v>10</v>
      </c>
      <c r="H121" s="37">
        <f t="shared" si="20"/>
        <v>2050.6625359999998</v>
      </c>
      <c r="I121" s="35">
        <v>40322.067999999999</v>
      </c>
      <c r="J121" s="35">
        <v>589432.45799999998</v>
      </c>
      <c r="K121" s="35">
        <f>92087.212+12204.572</f>
        <v>104291.784</v>
      </c>
      <c r="L121" s="35">
        <v>0</v>
      </c>
      <c r="M121" s="35">
        <v>8515.1740000000009</v>
      </c>
      <c r="N121" s="37">
        <f t="shared" si="21"/>
        <v>4180.2560000000012</v>
      </c>
      <c r="O121" s="35">
        <v>4334.9179999999997</v>
      </c>
      <c r="P121" s="38">
        <v>0</v>
      </c>
      <c r="Q121" s="38">
        <v>0</v>
      </c>
      <c r="R121" s="39">
        <f t="shared" si="22"/>
        <v>0</v>
      </c>
      <c r="S121" s="38">
        <v>17</v>
      </c>
      <c r="T121" s="40">
        <v>3633</v>
      </c>
    </row>
    <row r="122" spans="2:20" ht="15.6" x14ac:dyDescent="0.3">
      <c r="B122" s="59">
        <f t="shared" si="23"/>
        <v>13</v>
      </c>
      <c r="C122" s="32" t="s">
        <v>202</v>
      </c>
      <c r="D122" s="33" t="s">
        <v>203</v>
      </c>
      <c r="E122" s="34">
        <v>45291</v>
      </c>
      <c r="F122" s="35">
        <v>11850.600060000001</v>
      </c>
      <c r="G122" s="36">
        <v>10</v>
      </c>
      <c r="H122" s="37">
        <f t="shared" si="20"/>
        <v>1185.0600060000002</v>
      </c>
      <c r="I122" s="35">
        <v>230706.86900000001</v>
      </c>
      <c r="J122" s="35">
        <v>2427178.7560000001</v>
      </c>
      <c r="K122" s="35">
        <f>328057.196+32915.887</f>
        <v>360973.08299999998</v>
      </c>
      <c r="L122" s="35">
        <v>0</v>
      </c>
      <c r="M122" s="35">
        <v>125240.55899999999</v>
      </c>
      <c r="N122" s="37">
        <f t="shared" si="21"/>
        <v>65609.462</v>
      </c>
      <c r="O122" s="35">
        <v>59631.097000000002</v>
      </c>
      <c r="P122" s="38">
        <f>60+70+80+90</f>
        <v>300</v>
      </c>
      <c r="Q122" s="38">
        <v>0</v>
      </c>
      <c r="R122" s="39">
        <f t="shared" si="22"/>
        <v>300</v>
      </c>
      <c r="S122" s="38"/>
      <c r="T122" s="40">
        <v>55159</v>
      </c>
    </row>
    <row r="123" spans="2:20" ht="15.6" x14ac:dyDescent="0.3">
      <c r="B123" s="59">
        <f t="shared" si="23"/>
        <v>14</v>
      </c>
      <c r="C123" s="32" t="s">
        <v>204</v>
      </c>
      <c r="D123" s="33" t="s">
        <v>205</v>
      </c>
      <c r="E123" s="34">
        <v>45291</v>
      </c>
      <c r="F123" s="35">
        <v>17912.531940000001</v>
      </c>
      <c r="G123" s="36">
        <v>10</v>
      </c>
      <c r="H123" s="37">
        <f t="shared" si="20"/>
        <v>1791.2531940000001</v>
      </c>
      <c r="I123" s="35">
        <v>184907.51699999999</v>
      </c>
      <c r="J123" s="35">
        <v>3012108.7570000002</v>
      </c>
      <c r="K123" s="35">
        <f>431722.282+22107.161</f>
        <v>453829.44300000003</v>
      </c>
      <c r="L123" s="35">
        <v>0</v>
      </c>
      <c r="M123" s="35">
        <v>169407.916</v>
      </c>
      <c r="N123" s="37">
        <f t="shared" si="21"/>
        <v>84932.27399999999</v>
      </c>
      <c r="O123" s="35">
        <v>84475.642000000007</v>
      </c>
      <c r="P123" s="38">
        <f>30+40+50+80</f>
        <v>200</v>
      </c>
      <c r="Q123" s="38">
        <v>0</v>
      </c>
      <c r="R123" s="39">
        <f t="shared" si="22"/>
        <v>200</v>
      </c>
      <c r="S123" s="38"/>
      <c r="T123" s="40">
        <v>9617</v>
      </c>
    </row>
    <row r="124" spans="2:20" ht="15.6" x14ac:dyDescent="0.3">
      <c r="B124" s="59">
        <f t="shared" si="23"/>
        <v>15</v>
      </c>
      <c r="C124" s="32" t="s">
        <v>206</v>
      </c>
      <c r="D124" s="33" t="s">
        <v>207</v>
      </c>
      <c r="E124" s="34">
        <v>45291</v>
      </c>
      <c r="F124" s="35">
        <v>21275.31</v>
      </c>
      <c r="G124" s="36">
        <v>10</v>
      </c>
      <c r="H124" s="37">
        <f t="shared" si="20"/>
        <v>2127.5309999999999</v>
      </c>
      <c r="I124" s="35">
        <v>382755.59299999999</v>
      </c>
      <c r="J124" s="35">
        <v>6652707.4380000001</v>
      </c>
      <c r="K124" s="35">
        <f>1024657.648+40606.465</f>
        <v>1065264.1130000001</v>
      </c>
      <c r="L124" s="35">
        <v>0</v>
      </c>
      <c r="M124" s="35">
        <v>101253.09</v>
      </c>
      <c r="N124" s="37">
        <f t="shared" si="21"/>
        <v>49412.627999999997</v>
      </c>
      <c r="O124" s="35">
        <v>51840.462</v>
      </c>
      <c r="P124" s="38">
        <v>0</v>
      </c>
      <c r="Q124" s="38">
        <v>0</v>
      </c>
      <c r="R124" s="39">
        <f t="shared" si="22"/>
        <v>0</v>
      </c>
      <c r="S124" s="38"/>
      <c r="T124" s="40">
        <v>10156</v>
      </c>
    </row>
    <row r="125" spans="2:20" ht="15.6" x14ac:dyDescent="0.3">
      <c r="B125" s="59">
        <f t="shared" si="23"/>
        <v>16</v>
      </c>
      <c r="C125" s="32" t="s">
        <v>208</v>
      </c>
      <c r="D125" s="33" t="s">
        <v>209</v>
      </c>
      <c r="E125" s="34">
        <v>45291</v>
      </c>
      <c r="F125" s="35">
        <v>10082.387000000001</v>
      </c>
      <c r="G125" s="36">
        <v>10</v>
      </c>
      <c r="H125" s="37">
        <f t="shared" si="20"/>
        <v>1008.2387000000001</v>
      </c>
      <c r="I125" s="35">
        <v>16363.181</v>
      </c>
      <c r="J125" s="35">
        <v>178733.859</v>
      </c>
      <c r="K125" s="35">
        <f>28705.206+1208.398</f>
        <v>29913.603999999999</v>
      </c>
      <c r="L125" s="35">
        <v>0</v>
      </c>
      <c r="M125" s="35">
        <v>2193.319</v>
      </c>
      <c r="N125" s="37">
        <f t="shared" si="21"/>
        <v>958.02299999999991</v>
      </c>
      <c r="O125" s="35">
        <v>1235.296</v>
      </c>
      <c r="P125" s="38">
        <v>0</v>
      </c>
      <c r="Q125" s="38">
        <v>0</v>
      </c>
      <c r="R125" s="39">
        <f t="shared" si="22"/>
        <v>0</v>
      </c>
      <c r="S125" s="38"/>
      <c r="T125" s="40">
        <v>4992</v>
      </c>
    </row>
    <row r="126" spans="2:20" ht="15.6" x14ac:dyDescent="0.3">
      <c r="B126" s="59">
        <f t="shared" si="23"/>
        <v>17</v>
      </c>
      <c r="C126" s="32" t="s">
        <v>210</v>
      </c>
      <c r="D126" s="33" t="s">
        <v>211</v>
      </c>
      <c r="E126" s="34">
        <v>45291</v>
      </c>
      <c r="F126" s="35">
        <v>38715.850209999997</v>
      </c>
      <c r="G126" s="36">
        <v>10</v>
      </c>
      <c r="H126" s="37">
        <f t="shared" si="20"/>
        <v>3871.5850209999999</v>
      </c>
      <c r="I126" s="35">
        <v>96222.663</v>
      </c>
      <c r="J126" s="35">
        <v>1001947.8320000001</v>
      </c>
      <c r="K126" s="35">
        <f>151851.124+13324.963</f>
        <v>165176.087</v>
      </c>
      <c r="L126" s="35">
        <v>0</v>
      </c>
      <c r="M126" s="35">
        <v>89221.206000000006</v>
      </c>
      <c r="N126" s="37">
        <f t="shared" si="21"/>
        <v>46599.375000000007</v>
      </c>
      <c r="O126" s="35">
        <v>42621.830999999998</v>
      </c>
      <c r="P126" s="38">
        <f>40+25+25</f>
        <v>90</v>
      </c>
      <c r="Q126" s="38">
        <v>0</v>
      </c>
      <c r="R126" s="39">
        <f t="shared" si="22"/>
        <v>90</v>
      </c>
      <c r="S126" s="38"/>
      <c r="T126" s="40">
        <v>7037</v>
      </c>
    </row>
    <row r="127" spans="2:20" ht="15.6" x14ac:dyDescent="0.3">
      <c r="B127" s="59">
        <f t="shared" si="23"/>
        <v>18</v>
      </c>
      <c r="C127" s="32" t="s">
        <v>212</v>
      </c>
      <c r="D127" s="33" t="s">
        <v>213</v>
      </c>
      <c r="E127" s="34">
        <v>45291</v>
      </c>
      <c r="F127" s="35"/>
      <c r="G127" s="36">
        <v>10</v>
      </c>
      <c r="H127" s="37">
        <f t="shared" si="20"/>
        <v>0</v>
      </c>
      <c r="I127" s="35"/>
      <c r="J127" s="35"/>
      <c r="K127" s="35"/>
      <c r="L127" s="35"/>
      <c r="M127" s="35"/>
      <c r="N127" s="37">
        <f t="shared" si="21"/>
        <v>0</v>
      </c>
      <c r="O127" s="35"/>
      <c r="P127" s="38"/>
      <c r="Q127" s="38"/>
      <c r="R127" s="39">
        <f t="shared" si="22"/>
        <v>0</v>
      </c>
      <c r="S127" s="38"/>
      <c r="T127" s="40"/>
    </row>
    <row r="128" spans="2:20" ht="15.6" x14ac:dyDescent="0.3">
      <c r="B128" s="59">
        <f t="shared" si="23"/>
        <v>19</v>
      </c>
      <c r="C128" s="32" t="s">
        <v>214</v>
      </c>
      <c r="D128" s="33" t="s">
        <v>215</v>
      </c>
      <c r="E128" s="34">
        <v>45291</v>
      </c>
      <c r="F128" s="35">
        <v>11024.636</v>
      </c>
      <c r="G128" s="36">
        <v>10</v>
      </c>
      <c r="H128" s="37">
        <f t="shared" si="20"/>
        <v>1102.4636</v>
      </c>
      <c r="I128" s="35">
        <v>28613.166000000001</v>
      </c>
      <c r="J128" s="35">
        <v>658561.67200000002</v>
      </c>
      <c r="K128" s="35">
        <f>98033.321+6458.908</f>
        <v>104492.22899999999</v>
      </c>
      <c r="L128" s="35">
        <v>0</v>
      </c>
      <c r="M128" s="35">
        <v>12357.115</v>
      </c>
      <c r="N128" s="37">
        <f t="shared" si="21"/>
        <v>6281.6549999999997</v>
      </c>
      <c r="O128" s="35">
        <v>6075.46</v>
      </c>
      <c r="P128" s="38">
        <v>30</v>
      </c>
      <c r="Q128" s="38">
        <v>0</v>
      </c>
      <c r="R128" s="39">
        <f t="shared" si="22"/>
        <v>30</v>
      </c>
      <c r="S128" s="38"/>
      <c r="T128" s="40">
        <v>7716</v>
      </c>
    </row>
    <row r="129" spans="2:20" ht="15.6" x14ac:dyDescent="0.3">
      <c r="B129" s="59">
        <f t="shared" si="23"/>
        <v>20</v>
      </c>
      <c r="C129" s="32" t="s">
        <v>216</v>
      </c>
      <c r="D129" s="33" t="s">
        <v>217</v>
      </c>
      <c r="E129" s="34">
        <v>45291</v>
      </c>
      <c r="F129" s="35">
        <v>12241.79688</v>
      </c>
      <c r="G129" s="36">
        <v>10</v>
      </c>
      <c r="H129" s="37">
        <f t="shared" si="20"/>
        <v>1224.1796879999999</v>
      </c>
      <c r="I129" s="35">
        <v>252500.53099999999</v>
      </c>
      <c r="J129" s="35">
        <v>5574997.5020000003</v>
      </c>
      <c r="K129" s="35">
        <f>521374.426+22868.748</f>
        <v>544243.174</v>
      </c>
      <c r="L129" s="35">
        <v>0</v>
      </c>
      <c r="M129" s="35">
        <v>108118.07399999999</v>
      </c>
      <c r="N129" s="37">
        <f t="shared" si="21"/>
        <v>54937.660999999993</v>
      </c>
      <c r="O129" s="35">
        <v>53180.413</v>
      </c>
      <c r="P129" s="38">
        <f>110+110+110+110</f>
        <v>440</v>
      </c>
      <c r="Q129" s="38">
        <v>0</v>
      </c>
      <c r="R129" s="39">
        <f t="shared" si="22"/>
        <v>440</v>
      </c>
      <c r="S129" s="38"/>
      <c r="T129" s="40">
        <v>22759</v>
      </c>
    </row>
    <row r="130" spans="2:20" ht="15.6" x14ac:dyDescent="0.3">
      <c r="B130" s="61"/>
      <c r="C130" s="62"/>
      <c r="D130" s="63"/>
      <c r="E130" s="64"/>
      <c r="F130" s="65"/>
      <c r="G130" s="42"/>
      <c r="H130" s="66"/>
      <c r="I130" s="65"/>
      <c r="J130" s="65"/>
      <c r="K130" s="65"/>
      <c r="L130" s="65"/>
      <c r="M130" s="65"/>
      <c r="N130" s="66"/>
      <c r="O130" s="65"/>
      <c r="P130" s="67"/>
      <c r="Q130" s="67"/>
      <c r="R130" s="68"/>
      <c r="S130" s="67"/>
      <c r="T130" s="69"/>
    </row>
    <row r="131" spans="2:20" ht="15.6" x14ac:dyDescent="0.3">
      <c r="B131" s="46">
        <f>COUNT(B110:B130)</f>
        <v>20</v>
      </c>
      <c r="C131" s="46"/>
      <c r="D131" s="47"/>
      <c r="E131" s="47"/>
      <c r="F131" s="47">
        <f>SUM(F110:F130)</f>
        <v>321751.81733999995</v>
      </c>
      <c r="G131" s="48"/>
      <c r="H131" s="49">
        <f t="shared" ref="H131:O131" si="24">SUM(H110:H130)</f>
        <v>32175.181733999998</v>
      </c>
      <c r="I131" s="47">
        <f t="shared" si="24"/>
        <v>2430260.8490000004</v>
      </c>
      <c r="J131" s="47">
        <f t="shared" si="24"/>
        <v>42306946.265000001</v>
      </c>
      <c r="K131" s="47">
        <f t="shared" si="24"/>
        <v>6047166.8340000007</v>
      </c>
      <c r="L131" s="47">
        <f t="shared" si="24"/>
        <v>0</v>
      </c>
      <c r="M131" s="47">
        <f t="shared" si="24"/>
        <v>1139616.9820000001</v>
      </c>
      <c r="N131" s="50">
        <f t="shared" si="24"/>
        <v>580495.77199999988</v>
      </c>
      <c r="O131" s="47">
        <f t="shared" si="24"/>
        <v>559121.21</v>
      </c>
      <c r="P131" s="51"/>
      <c r="Q131" s="51"/>
      <c r="R131" s="52"/>
      <c r="S131" s="51"/>
      <c r="T131" s="53">
        <f>SUM(T110:T130)</f>
        <v>392988</v>
      </c>
    </row>
    <row r="132" spans="2:20" ht="15.6" x14ac:dyDescent="0.3">
      <c r="B132" s="27"/>
      <c r="C132" s="27"/>
      <c r="D132" s="27"/>
      <c r="E132" s="27"/>
      <c r="F132" s="27"/>
      <c r="G132" s="42"/>
      <c r="H132" s="43"/>
      <c r="I132" s="29"/>
      <c r="J132" s="29"/>
      <c r="K132" s="29"/>
      <c r="L132" s="29"/>
      <c r="M132" s="29"/>
      <c r="N132" s="44"/>
      <c r="O132" s="29"/>
      <c r="P132" s="29"/>
      <c r="Q132" s="29"/>
      <c r="R132" s="44"/>
      <c r="S132" s="29"/>
      <c r="T132" s="29"/>
    </row>
    <row r="133" spans="2:20" ht="15.6" x14ac:dyDescent="0.3">
      <c r="B133" s="27"/>
      <c r="C133" s="27"/>
      <c r="D133" s="27"/>
      <c r="E133" s="27"/>
      <c r="F133" s="27"/>
      <c r="G133" s="42"/>
      <c r="H133" s="43"/>
      <c r="I133" s="29"/>
      <c r="J133" s="29"/>
      <c r="K133" s="29"/>
      <c r="L133" s="29"/>
      <c r="M133" s="29"/>
      <c r="N133" s="44"/>
      <c r="O133" s="29"/>
      <c r="P133" s="29"/>
      <c r="Q133" s="29"/>
      <c r="R133" s="44"/>
      <c r="S133" s="29"/>
      <c r="T133" s="29"/>
    </row>
    <row r="134" spans="2:20" ht="18" x14ac:dyDescent="0.35">
      <c r="B134" s="27"/>
      <c r="C134" s="31">
        <v>6</v>
      </c>
      <c r="D134" s="31" t="s">
        <v>218</v>
      </c>
      <c r="E134" s="60"/>
      <c r="F134" s="60"/>
      <c r="G134" s="42"/>
      <c r="H134" s="43"/>
      <c r="I134" s="29"/>
      <c r="J134" s="29"/>
      <c r="K134" s="29"/>
      <c r="L134" s="29"/>
      <c r="M134" s="29"/>
      <c r="N134" s="44"/>
      <c r="O134" s="29"/>
      <c r="P134" s="29"/>
      <c r="Q134" s="29"/>
      <c r="R134" s="44"/>
      <c r="S134" s="29"/>
      <c r="T134" s="29"/>
    </row>
    <row r="135" spans="2:20" ht="15.6" x14ac:dyDescent="0.3">
      <c r="B135" s="27"/>
      <c r="C135" s="27"/>
      <c r="D135" s="27"/>
      <c r="E135" s="27"/>
      <c r="F135" s="27"/>
      <c r="G135" s="42"/>
      <c r="H135" s="43"/>
      <c r="I135" s="29"/>
      <c r="J135" s="29"/>
      <c r="K135" s="29"/>
      <c r="L135" s="29"/>
      <c r="M135" s="29"/>
      <c r="N135" s="44"/>
      <c r="O135" s="29"/>
      <c r="P135" s="29"/>
      <c r="Q135" s="29"/>
      <c r="R135" s="44"/>
      <c r="S135" s="29"/>
      <c r="T135" s="29"/>
    </row>
    <row r="136" spans="2:20" ht="15.6" x14ac:dyDescent="0.3">
      <c r="B136" s="32">
        <v>1</v>
      </c>
      <c r="C136" s="32" t="s">
        <v>219</v>
      </c>
      <c r="D136" s="33" t="s">
        <v>220</v>
      </c>
      <c r="E136" s="34">
        <v>45291</v>
      </c>
      <c r="F136" s="35">
        <v>719.01900000000001</v>
      </c>
      <c r="G136" s="36">
        <v>10</v>
      </c>
      <c r="H136" s="37">
        <f t="shared" ref="H136:H158" si="25">+F136/G136</f>
        <v>71.901899999999998</v>
      </c>
      <c r="I136" s="35">
        <v>2748.6149999999998</v>
      </c>
      <c r="J136" s="35">
        <v>8283.19</v>
      </c>
      <c r="K136" s="35">
        <f>2851.209+22.405+449.855+6.472+72.091</f>
        <v>3402.0320000000002</v>
      </c>
      <c r="L136" s="35">
        <v>23.306999999999999</v>
      </c>
      <c r="M136" s="35">
        <v>772.42600000000004</v>
      </c>
      <c r="N136" s="37">
        <f t="shared" ref="N136:N158" si="26">+M136-O136</f>
        <v>339.90800000000007</v>
      </c>
      <c r="O136" s="35">
        <v>432.51799999999997</v>
      </c>
      <c r="P136" s="38">
        <v>32.5</v>
      </c>
      <c r="Q136" s="38">
        <v>0</v>
      </c>
      <c r="R136" s="39">
        <f t="shared" ref="R136:R158" si="27">SUM(P136:Q136)</f>
        <v>32.5</v>
      </c>
      <c r="S136" s="38"/>
      <c r="T136" s="40">
        <v>1805</v>
      </c>
    </row>
    <row r="137" spans="2:20" ht="15.6" x14ac:dyDescent="0.3">
      <c r="B137" s="32">
        <f>+B136+1</f>
        <v>2</v>
      </c>
      <c r="C137" s="32" t="s">
        <v>221</v>
      </c>
      <c r="D137" s="33" t="s">
        <v>222</v>
      </c>
      <c r="E137" s="34">
        <v>45291</v>
      </c>
      <c r="F137" s="35">
        <v>3500</v>
      </c>
      <c r="G137" s="36">
        <v>10</v>
      </c>
      <c r="H137" s="37">
        <f t="shared" si="25"/>
        <v>350</v>
      </c>
      <c r="I137" s="35">
        <v>30620.069</v>
      </c>
      <c r="J137" s="35">
        <v>90127.751999999993</v>
      </c>
      <c r="K137" s="35">
        <f>19319.089+3902.919+182.048+544.579+358.1</f>
        <v>24306.735000000001</v>
      </c>
      <c r="L137" s="35">
        <v>4.6740000000000004</v>
      </c>
      <c r="M137" s="35">
        <v>3912.2669999999998</v>
      </c>
      <c r="N137" s="37">
        <f t="shared" si="26"/>
        <v>1650.2369999999996</v>
      </c>
      <c r="O137" s="35">
        <v>2262.0300000000002</v>
      </c>
      <c r="P137" s="38">
        <f>15+15</f>
        <v>30</v>
      </c>
      <c r="Q137" s="38">
        <v>0</v>
      </c>
      <c r="R137" s="39">
        <f t="shared" si="27"/>
        <v>30</v>
      </c>
      <c r="S137" s="38"/>
      <c r="T137" s="40">
        <v>4199</v>
      </c>
    </row>
    <row r="138" spans="2:20" ht="15.6" x14ac:dyDescent="0.3">
      <c r="B138" s="32">
        <f>+B137+1</f>
        <v>3</v>
      </c>
      <c r="C138" s="59" t="s">
        <v>223</v>
      </c>
      <c r="D138" s="33" t="s">
        <v>224</v>
      </c>
      <c r="E138" s="34">
        <v>45291</v>
      </c>
      <c r="F138" s="35">
        <v>1501.7201399999999</v>
      </c>
      <c r="G138" s="36">
        <v>10</v>
      </c>
      <c r="H138" s="37">
        <f t="shared" si="25"/>
        <v>150.17201399999999</v>
      </c>
      <c r="I138" s="35">
        <v>396.76900000000001</v>
      </c>
      <c r="J138" s="35">
        <v>2099.002</v>
      </c>
      <c r="K138" s="35">
        <f>1613.54+268.773+7.132+0.825+20.087</f>
        <v>1910.3570000000002</v>
      </c>
      <c r="L138" s="35">
        <v>0</v>
      </c>
      <c r="M138" s="35">
        <v>-158.642</v>
      </c>
      <c r="N138" s="37">
        <f t="shared" si="26"/>
        <v>6.5980000000000132</v>
      </c>
      <c r="O138" s="35">
        <v>-165.24</v>
      </c>
      <c r="P138" s="38">
        <v>0</v>
      </c>
      <c r="Q138" s="38">
        <v>0</v>
      </c>
      <c r="R138" s="39">
        <f t="shared" si="27"/>
        <v>0</v>
      </c>
      <c r="S138" s="38"/>
      <c r="T138" s="40">
        <v>543</v>
      </c>
    </row>
    <row r="139" spans="2:20" ht="15.6" x14ac:dyDescent="0.3">
      <c r="B139" s="32">
        <f>+B138+1</f>
        <v>4</v>
      </c>
      <c r="C139" s="32" t="s">
        <v>225</v>
      </c>
      <c r="D139" s="33" t="s">
        <v>226</v>
      </c>
      <c r="E139" s="34">
        <v>45291</v>
      </c>
      <c r="F139" s="35">
        <v>2500</v>
      </c>
      <c r="G139" s="36">
        <v>10</v>
      </c>
      <c r="H139" s="37">
        <f t="shared" si="25"/>
        <v>250</v>
      </c>
      <c r="I139" s="35">
        <v>4417.5680000000002</v>
      </c>
      <c r="J139" s="35">
        <v>86089.668000000005</v>
      </c>
      <c r="K139" s="35">
        <f>23350.828+11854.8+1975.557+3223.46+2.988+121.725+883.519</f>
        <v>41412.876999999993</v>
      </c>
      <c r="L139" s="35">
        <v>9.6829999999999998</v>
      </c>
      <c r="M139" s="35">
        <v>1541.202</v>
      </c>
      <c r="N139" s="37">
        <f t="shared" si="26"/>
        <v>633.12699999999995</v>
      </c>
      <c r="O139" s="35">
        <v>908.07500000000005</v>
      </c>
      <c r="P139" s="38">
        <f>10+10</f>
        <v>20</v>
      </c>
      <c r="Q139" s="38">
        <v>0</v>
      </c>
      <c r="R139" s="39">
        <f t="shared" si="27"/>
        <v>20</v>
      </c>
      <c r="S139" s="38"/>
      <c r="T139" s="40">
        <v>761</v>
      </c>
    </row>
    <row r="140" spans="2:20" ht="15.6" x14ac:dyDescent="0.3">
      <c r="B140" s="32">
        <f t="shared" ref="B140:B158" si="28">+B139+1</f>
        <v>5</v>
      </c>
      <c r="C140" s="32" t="s">
        <v>227</v>
      </c>
      <c r="D140" s="33" t="s">
        <v>228</v>
      </c>
      <c r="E140" s="34">
        <v>45291</v>
      </c>
      <c r="F140" s="35">
        <v>730.08243000000004</v>
      </c>
      <c r="G140" s="36">
        <v>10</v>
      </c>
      <c r="H140" s="37">
        <f t="shared" si="25"/>
        <v>73.008243000000007</v>
      </c>
      <c r="I140" s="35">
        <v>905.31933300000003</v>
      </c>
      <c r="J140" s="35">
        <v>2100.813384</v>
      </c>
      <c r="K140" s="35">
        <f>827.145816+53.804241+82.025719</f>
        <v>962.975776</v>
      </c>
      <c r="L140" s="35">
        <v>14.529391</v>
      </c>
      <c r="M140" s="35">
        <v>157.406936</v>
      </c>
      <c r="N140" s="37">
        <f t="shared" si="26"/>
        <v>71.707639999999998</v>
      </c>
      <c r="O140" s="35">
        <v>85.699296000000004</v>
      </c>
      <c r="P140" s="38">
        <v>5</v>
      </c>
      <c r="Q140" s="38">
        <v>0</v>
      </c>
      <c r="R140" s="39">
        <f t="shared" si="27"/>
        <v>5</v>
      </c>
      <c r="S140" s="38"/>
      <c r="T140" s="40">
        <v>114</v>
      </c>
    </row>
    <row r="141" spans="2:20" ht="15.6" x14ac:dyDescent="0.3">
      <c r="B141" s="32">
        <f t="shared" si="28"/>
        <v>6</v>
      </c>
      <c r="C141" s="32" t="s">
        <v>229</v>
      </c>
      <c r="D141" s="33" t="s">
        <v>230</v>
      </c>
      <c r="E141" s="34">
        <v>45291</v>
      </c>
      <c r="F141" s="35">
        <v>1494.1569099999999</v>
      </c>
      <c r="G141" s="36">
        <v>10</v>
      </c>
      <c r="H141" s="37">
        <f t="shared" si="25"/>
        <v>149.41569099999998</v>
      </c>
      <c r="I141" s="35">
        <v>4770.9409999999998</v>
      </c>
      <c r="J141" s="35">
        <v>13280.831</v>
      </c>
      <c r="K141" s="35">
        <f>2382.207+172.446+603.075+281.136</f>
        <v>3438.864</v>
      </c>
      <c r="L141" s="35">
        <v>48.875</v>
      </c>
      <c r="M141" s="35">
        <v>1822.6210000000001</v>
      </c>
      <c r="N141" s="37">
        <f t="shared" si="26"/>
        <v>815.45400000000006</v>
      </c>
      <c r="O141" s="35">
        <v>1007.167</v>
      </c>
      <c r="P141" s="38">
        <f>16+30</f>
        <v>46</v>
      </c>
      <c r="Q141" s="38">
        <f>60</f>
        <v>60</v>
      </c>
      <c r="R141" s="39">
        <f t="shared" si="27"/>
        <v>106</v>
      </c>
      <c r="S141" s="38"/>
      <c r="T141" s="40">
        <v>1244</v>
      </c>
    </row>
    <row r="142" spans="2:20" ht="15.6" x14ac:dyDescent="0.3">
      <c r="B142" s="32">
        <f t="shared" si="28"/>
        <v>7</v>
      </c>
      <c r="C142" s="32" t="s">
        <v>231</v>
      </c>
      <c r="D142" s="33" t="s">
        <v>232</v>
      </c>
      <c r="E142" s="34">
        <v>45291</v>
      </c>
      <c r="F142" s="35">
        <v>553.26482999999996</v>
      </c>
      <c r="G142" s="36">
        <v>10</v>
      </c>
      <c r="H142" s="37">
        <f t="shared" si="25"/>
        <v>55.326482999999996</v>
      </c>
      <c r="I142" s="35">
        <v>2823.0679019999998</v>
      </c>
      <c r="J142" s="35">
        <v>5072.198574</v>
      </c>
      <c r="K142" s="35">
        <f>1197.153489+449.94038+76.941573</f>
        <v>1724.0354420000001</v>
      </c>
      <c r="L142" s="35">
        <v>3.767436</v>
      </c>
      <c r="M142" s="35">
        <v>830.07506000000001</v>
      </c>
      <c r="N142" s="37">
        <f t="shared" si="26"/>
        <v>333.20639499999999</v>
      </c>
      <c r="O142" s="35">
        <v>496.86866500000002</v>
      </c>
      <c r="P142" s="38">
        <v>45</v>
      </c>
      <c r="Q142" s="38">
        <v>0</v>
      </c>
      <c r="R142" s="39">
        <f t="shared" si="27"/>
        <v>45</v>
      </c>
      <c r="S142" s="38"/>
      <c r="T142" s="40">
        <v>1130</v>
      </c>
    </row>
    <row r="143" spans="2:20" ht="15.6" x14ac:dyDescent="0.3">
      <c r="B143" s="32">
        <f t="shared" si="28"/>
        <v>8</v>
      </c>
      <c r="C143" s="32" t="s">
        <v>233</v>
      </c>
      <c r="D143" s="33" t="s">
        <v>234</v>
      </c>
      <c r="E143" s="34">
        <v>45291</v>
      </c>
      <c r="F143" s="35">
        <v>1076.9504099999999</v>
      </c>
      <c r="G143" s="36">
        <v>10</v>
      </c>
      <c r="H143" s="37">
        <f t="shared" si="25"/>
        <v>107.69504099999999</v>
      </c>
      <c r="I143" s="35">
        <v>1183.6544249999999</v>
      </c>
      <c r="J143" s="35">
        <v>1588.4420270000001</v>
      </c>
      <c r="K143" s="35">
        <f>277.821497+21.153198+22.837645</f>
        <v>321.81234000000001</v>
      </c>
      <c r="L143" s="35">
        <v>0</v>
      </c>
      <c r="M143" s="35">
        <v>39.741574</v>
      </c>
      <c r="N143" s="37">
        <f t="shared" si="26"/>
        <v>-28.361576999999997</v>
      </c>
      <c r="O143" s="35">
        <v>68.103150999999997</v>
      </c>
      <c r="P143" s="38">
        <v>0</v>
      </c>
      <c r="Q143" s="38">
        <v>0</v>
      </c>
      <c r="R143" s="39">
        <f t="shared" si="27"/>
        <v>0</v>
      </c>
      <c r="S143" s="38"/>
      <c r="T143" s="40">
        <v>1917</v>
      </c>
    </row>
    <row r="144" spans="2:20" ht="15.6" x14ac:dyDescent="0.3">
      <c r="B144" s="32">
        <f t="shared" si="28"/>
        <v>9</v>
      </c>
      <c r="C144" s="32" t="s">
        <v>235</v>
      </c>
      <c r="D144" s="33" t="s">
        <v>236</v>
      </c>
      <c r="E144" s="34">
        <v>45291</v>
      </c>
      <c r="F144" s="35">
        <v>2000</v>
      </c>
      <c r="G144" s="36">
        <v>10</v>
      </c>
      <c r="H144" s="37">
        <f t="shared" si="25"/>
        <v>200</v>
      </c>
      <c r="I144" s="35">
        <v>20407.751</v>
      </c>
      <c r="J144" s="35">
        <v>67505.051000000007</v>
      </c>
      <c r="K144" s="35">
        <f>12389.706+2389.885+125.289+677.978+170.178</f>
        <v>15753.036</v>
      </c>
      <c r="L144" s="35">
        <v>0</v>
      </c>
      <c r="M144" s="35">
        <v>5460.4709999999995</v>
      </c>
      <c r="N144" s="37">
        <f t="shared" si="26"/>
        <v>2178.8599999999997</v>
      </c>
      <c r="O144" s="35">
        <v>3281.6109999999999</v>
      </c>
      <c r="P144" s="38">
        <f>15+15+15+55</f>
        <v>100</v>
      </c>
      <c r="Q144" s="38">
        <v>0</v>
      </c>
      <c r="R144" s="39">
        <f t="shared" si="27"/>
        <v>100</v>
      </c>
      <c r="S144" s="38"/>
      <c r="T144" s="40">
        <v>1412</v>
      </c>
    </row>
    <row r="145" spans="2:20" ht="15.6" x14ac:dyDescent="0.3">
      <c r="B145" s="32">
        <f t="shared" si="28"/>
        <v>10</v>
      </c>
      <c r="C145" s="59" t="s">
        <v>237</v>
      </c>
      <c r="D145" s="33" t="s">
        <v>238</v>
      </c>
      <c r="E145" s="34">
        <v>45291</v>
      </c>
      <c r="F145" s="35">
        <v>1000</v>
      </c>
      <c r="G145" s="36">
        <v>10</v>
      </c>
      <c r="H145" s="37">
        <f t="shared" si="25"/>
        <v>100</v>
      </c>
      <c r="I145" s="35">
        <v>6949.3429999999998</v>
      </c>
      <c r="J145" s="35">
        <v>210203.902</v>
      </c>
      <c r="K145" s="35">
        <f>37467.136+32897.028+289.08+5949.453+211.244+32850.082</f>
        <v>109664.02299999999</v>
      </c>
      <c r="L145" s="35">
        <v>0</v>
      </c>
      <c r="M145" s="35">
        <v>3997.5749999999998</v>
      </c>
      <c r="N145" s="37">
        <f t="shared" si="26"/>
        <v>1931.337</v>
      </c>
      <c r="O145" s="35">
        <v>2066.2379999999998</v>
      </c>
      <c r="P145" s="38">
        <f>15+15+15+105</f>
        <v>150</v>
      </c>
      <c r="Q145" s="38">
        <v>0</v>
      </c>
      <c r="R145" s="39">
        <f t="shared" si="27"/>
        <v>150</v>
      </c>
      <c r="S145" s="38"/>
      <c r="T145" s="40">
        <v>953</v>
      </c>
    </row>
    <row r="146" spans="2:20" ht="15.6" x14ac:dyDescent="0.3">
      <c r="B146" s="32">
        <f t="shared" si="28"/>
        <v>11</v>
      </c>
      <c r="C146" s="32" t="s">
        <v>239</v>
      </c>
      <c r="D146" s="33" t="s">
        <v>240</v>
      </c>
      <c r="E146" s="34">
        <v>45291</v>
      </c>
      <c r="F146" s="35">
        <v>1758.9138800000001</v>
      </c>
      <c r="G146" s="36">
        <v>10</v>
      </c>
      <c r="H146" s="37">
        <f t="shared" si="25"/>
        <v>175.89138800000001</v>
      </c>
      <c r="I146" s="35">
        <v>3325.5289790000002</v>
      </c>
      <c r="J146" s="35">
        <v>7430.0576499999997</v>
      </c>
      <c r="K146" s="35">
        <f>3805.951292+404.035292+31.352891</f>
        <v>4241.3394750000007</v>
      </c>
      <c r="L146" s="35">
        <v>8.6185449999999992</v>
      </c>
      <c r="M146" s="35">
        <v>676.56477199999995</v>
      </c>
      <c r="N146" s="37">
        <f t="shared" si="26"/>
        <v>93.4149349999999</v>
      </c>
      <c r="O146" s="35">
        <v>583.14983700000005</v>
      </c>
      <c r="P146" s="38">
        <v>0</v>
      </c>
      <c r="Q146" s="38">
        <v>0</v>
      </c>
      <c r="R146" s="39">
        <f t="shared" si="27"/>
        <v>0</v>
      </c>
      <c r="S146" s="38"/>
      <c r="T146" s="40">
        <v>285</v>
      </c>
    </row>
    <row r="147" spans="2:20" ht="15.6" x14ac:dyDescent="0.3">
      <c r="B147" s="32">
        <f t="shared" si="28"/>
        <v>12</v>
      </c>
      <c r="C147" s="32" t="s">
        <v>241</v>
      </c>
      <c r="D147" s="33" t="s">
        <v>242</v>
      </c>
      <c r="E147" s="34">
        <v>45291</v>
      </c>
      <c r="F147" s="35">
        <v>619.37400000000002</v>
      </c>
      <c r="G147" s="36">
        <v>5</v>
      </c>
      <c r="H147" s="37">
        <f t="shared" si="25"/>
        <v>123.87480000000001</v>
      </c>
      <c r="I147" s="35">
        <v>1503.453</v>
      </c>
      <c r="J147" s="35">
        <v>5494.06</v>
      </c>
      <c r="K147" s="35">
        <f>1505.708+305.198+48.117</f>
        <v>1859.0229999999999</v>
      </c>
      <c r="L147" s="35">
        <v>9.1159999999999997</v>
      </c>
      <c r="M147" s="35">
        <v>159.744</v>
      </c>
      <c r="N147" s="37">
        <f t="shared" si="26"/>
        <v>46.962999999999994</v>
      </c>
      <c r="O147" s="35">
        <v>112.78100000000001</v>
      </c>
      <c r="P147" s="38">
        <v>12.5</v>
      </c>
      <c r="Q147" s="38">
        <v>0</v>
      </c>
      <c r="R147" s="39">
        <f t="shared" si="27"/>
        <v>12.5</v>
      </c>
      <c r="S147" s="38"/>
      <c r="T147" s="40">
        <v>2326</v>
      </c>
    </row>
    <row r="148" spans="2:20" ht="15.6" x14ac:dyDescent="0.3">
      <c r="B148" s="32">
        <f t="shared" si="28"/>
        <v>13</v>
      </c>
      <c r="C148" s="32" t="s">
        <v>243</v>
      </c>
      <c r="D148" s="33" t="s">
        <v>244</v>
      </c>
      <c r="E148" s="34">
        <v>45291</v>
      </c>
      <c r="F148" s="35">
        <v>1426.3050000000001</v>
      </c>
      <c r="G148" s="36">
        <v>10</v>
      </c>
      <c r="H148" s="37">
        <f t="shared" si="25"/>
        <v>142.63050000000001</v>
      </c>
      <c r="I148" s="35">
        <v>15291.048000000001</v>
      </c>
      <c r="J148" s="35">
        <v>16179.259</v>
      </c>
      <c r="K148" s="35">
        <v>1586.3779999999999</v>
      </c>
      <c r="L148" s="35">
        <v>218.15799999999999</v>
      </c>
      <c r="M148" s="35">
        <v>1253.08</v>
      </c>
      <c r="N148" s="37">
        <f t="shared" si="26"/>
        <v>-64.528999999999996</v>
      </c>
      <c r="O148" s="35">
        <v>1317.6089999999999</v>
      </c>
      <c r="P148" s="38">
        <f>20+40</f>
        <v>60</v>
      </c>
      <c r="Q148" s="38">
        <v>0</v>
      </c>
      <c r="R148" s="39">
        <f t="shared" si="27"/>
        <v>60</v>
      </c>
      <c r="S148" s="38"/>
      <c r="T148" s="40">
        <v>3148</v>
      </c>
    </row>
    <row r="149" spans="2:20" ht="15.6" x14ac:dyDescent="0.3">
      <c r="B149" s="32">
        <f t="shared" si="28"/>
        <v>14</v>
      </c>
      <c r="C149" s="32" t="s">
        <v>245</v>
      </c>
      <c r="D149" s="33" t="s">
        <v>246</v>
      </c>
      <c r="E149" s="34">
        <v>45291</v>
      </c>
      <c r="F149" s="35">
        <v>1705.672</v>
      </c>
      <c r="G149" s="36">
        <v>10</v>
      </c>
      <c r="H149" s="37">
        <f t="shared" si="25"/>
        <v>170.56720000000001</v>
      </c>
      <c r="I149" s="35">
        <v>1946.4749999999999</v>
      </c>
      <c r="J149" s="35">
        <v>26688.032999999999</v>
      </c>
      <c r="K149" s="35">
        <f>7991.605+2505.665+419.508+175.614+4480.832</f>
        <v>15573.224</v>
      </c>
      <c r="L149" s="35">
        <v>10.882999999999999</v>
      </c>
      <c r="M149" s="35">
        <v>224.86500000000001</v>
      </c>
      <c r="N149" s="37">
        <f t="shared" si="26"/>
        <v>82.165999999999997</v>
      </c>
      <c r="O149" s="35">
        <v>142.69900000000001</v>
      </c>
      <c r="P149" s="38">
        <v>0</v>
      </c>
      <c r="Q149" s="38">
        <v>0</v>
      </c>
      <c r="R149" s="39">
        <f t="shared" si="27"/>
        <v>0</v>
      </c>
      <c r="S149" s="38"/>
      <c r="T149" s="40">
        <v>952</v>
      </c>
    </row>
    <row r="150" spans="2:20" ht="15.6" x14ac:dyDescent="0.3">
      <c r="B150" s="32">
        <f t="shared" si="28"/>
        <v>15</v>
      </c>
      <c r="C150" s="32" t="s">
        <v>247</v>
      </c>
      <c r="D150" s="33" t="s">
        <v>248</v>
      </c>
      <c r="E150" s="34">
        <v>45291</v>
      </c>
      <c r="F150" s="35">
        <v>1984.912</v>
      </c>
      <c r="G150" s="36">
        <v>10</v>
      </c>
      <c r="H150" s="37">
        <f t="shared" si="25"/>
        <v>198.49119999999999</v>
      </c>
      <c r="I150" s="35">
        <v>13476.546</v>
      </c>
      <c r="J150" s="35">
        <v>37234.538999999997</v>
      </c>
      <c r="K150" s="35">
        <f>7068.147+2923.955+94.822+644.679+117.27+416.808</f>
        <v>11265.681</v>
      </c>
      <c r="L150" s="35">
        <v>0</v>
      </c>
      <c r="M150" s="35">
        <v>4569.4560000000001</v>
      </c>
      <c r="N150" s="37">
        <f t="shared" si="26"/>
        <v>1573.8389999999999</v>
      </c>
      <c r="O150" s="35">
        <v>2995.6170000000002</v>
      </c>
      <c r="P150" s="38">
        <v>50</v>
      </c>
      <c r="Q150" s="38">
        <v>0</v>
      </c>
      <c r="R150" s="39">
        <f t="shared" si="27"/>
        <v>50</v>
      </c>
      <c r="S150" s="38"/>
      <c r="T150" s="40">
        <v>1464</v>
      </c>
    </row>
    <row r="151" spans="2:20" ht="15.6" x14ac:dyDescent="0.3">
      <c r="B151" s="32">
        <f t="shared" si="28"/>
        <v>16</v>
      </c>
      <c r="C151" s="59" t="s">
        <v>249</v>
      </c>
      <c r="D151" s="33" t="s">
        <v>250</v>
      </c>
      <c r="E151" s="34">
        <v>45291</v>
      </c>
      <c r="F151" s="35">
        <v>1003.534</v>
      </c>
      <c r="G151" s="36">
        <v>10</v>
      </c>
      <c r="H151" s="37">
        <f t="shared" si="25"/>
        <v>100.35339999999999</v>
      </c>
      <c r="I151" s="35">
        <v>15353.062</v>
      </c>
      <c r="J151" s="35">
        <v>205490.272</v>
      </c>
      <c r="K151" s="35">
        <f>46113.257+72.542+30713.754+398.326+2375.385+592.165+49879.81</f>
        <v>130145.23899999999</v>
      </c>
      <c r="L151" s="35">
        <v>229.96700000000001</v>
      </c>
      <c r="M151" s="35">
        <v>4352.9660000000003</v>
      </c>
      <c r="N151" s="37">
        <f t="shared" si="26"/>
        <v>2046.6860000000001</v>
      </c>
      <c r="O151" s="35">
        <v>2306.2800000000002</v>
      </c>
      <c r="P151" s="38">
        <f>30+100</f>
        <v>130</v>
      </c>
      <c r="Q151" s="38">
        <v>0</v>
      </c>
      <c r="R151" s="39">
        <f t="shared" si="27"/>
        <v>130</v>
      </c>
      <c r="S151" s="38"/>
      <c r="T151" s="40">
        <v>1611</v>
      </c>
    </row>
    <row r="152" spans="2:20" ht="15.6" x14ac:dyDescent="0.3">
      <c r="B152" s="32">
        <f t="shared" si="28"/>
        <v>17</v>
      </c>
      <c r="C152" s="32" t="s">
        <v>251</v>
      </c>
      <c r="D152" s="33" t="s">
        <v>252</v>
      </c>
      <c r="E152" s="34">
        <v>45291</v>
      </c>
      <c r="F152" s="35">
        <v>9000</v>
      </c>
      <c r="G152" s="36">
        <v>10</v>
      </c>
      <c r="H152" s="37">
        <f t="shared" si="25"/>
        <v>900</v>
      </c>
      <c r="I152" s="35">
        <v>18139.733451</v>
      </c>
      <c r="J152" s="35"/>
      <c r="K152" s="35"/>
      <c r="L152" s="35"/>
      <c r="M152" s="35">
        <v>5189.3220000000001</v>
      </c>
      <c r="N152" s="37">
        <f t="shared" si="26"/>
        <v>2124.0740000000001</v>
      </c>
      <c r="O152" s="35">
        <v>3065.248</v>
      </c>
      <c r="P152" s="38">
        <v>10</v>
      </c>
      <c r="Q152" s="38">
        <v>0</v>
      </c>
      <c r="R152" s="39">
        <f t="shared" si="27"/>
        <v>10</v>
      </c>
      <c r="S152" s="38"/>
      <c r="T152" s="40">
        <v>3936</v>
      </c>
    </row>
    <row r="153" spans="2:20" ht="15.6" x14ac:dyDescent="0.3">
      <c r="B153" s="32">
        <f t="shared" si="28"/>
        <v>18</v>
      </c>
      <c r="C153" s="32" t="s">
        <v>253</v>
      </c>
      <c r="D153" s="33" t="s">
        <v>254</v>
      </c>
      <c r="E153" s="34">
        <v>45291</v>
      </c>
      <c r="F153" s="35">
        <v>505.65</v>
      </c>
      <c r="G153" s="36">
        <v>10</v>
      </c>
      <c r="H153" s="37">
        <f t="shared" si="25"/>
        <v>50.564999999999998</v>
      </c>
      <c r="I153" s="35">
        <v>947.39599999999996</v>
      </c>
      <c r="J153" s="35">
        <v>2615.8609999999999</v>
      </c>
      <c r="K153" s="35">
        <f>314.859+3.059+45.685+4.839+25.441+6.794</f>
        <v>400.67699999999996</v>
      </c>
      <c r="L153" s="35">
        <v>0.626</v>
      </c>
      <c r="M153" s="35">
        <v>16.277000000000001</v>
      </c>
      <c r="N153" s="37">
        <f t="shared" si="26"/>
        <v>8.3390000000000022</v>
      </c>
      <c r="O153" s="35">
        <v>7.9379999999999997</v>
      </c>
      <c r="P153" s="38">
        <v>0</v>
      </c>
      <c r="Q153" s="38">
        <v>0</v>
      </c>
      <c r="R153" s="39">
        <f t="shared" si="27"/>
        <v>0</v>
      </c>
      <c r="S153" s="38"/>
      <c r="T153" s="40">
        <v>1919</v>
      </c>
    </row>
    <row r="154" spans="2:20" ht="15.6" x14ac:dyDescent="0.3">
      <c r="B154" s="32">
        <f t="shared" si="28"/>
        <v>19</v>
      </c>
      <c r="C154" s="32" t="s">
        <v>255</v>
      </c>
      <c r="D154" s="33" t="s">
        <v>256</v>
      </c>
      <c r="E154" s="34">
        <v>45291</v>
      </c>
      <c r="F154" s="35">
        <v>665.37949000000003</v>
      </c>
      <c r="G154" s="36">
        <v>10</v>
      </c>
      <c r="H154" s="37">
        <f t="shared" si="25"/>
        <v>66.537948999999998</v>
      </c>
      <c r="I154" s="35">
        <v>1222.421288</v>
      </c>
      <c r="J154" s="35">
        <v>2312.516627</v>
      </c>
      <c r="K154" s="35">
        <f>460.686249+246.032173+5.564101</f>
        <v>712.28252299999997</v>
      </c>
      <c r="L154" s="35">
        <v>0</v>
      </c>
      <c r="M154" s="35">
        <v>256.98832399999998</v>
      </c>
      <c r="N154" s="37">
        <f t="shared" si="26"/>
        <v>85.090677999999969</v>
      </c>
      <c r="O154" s="35">
        <v>171.89764600000001</v>
      </c>
      <c r="P154" s="38">
        <v>10</v>
      </c>
      <c r="Q154" s="38">
        <v>0</v>
      </c>
      <c r="R154" s="39">
        <f t="shared" si="27"/>
        <v>10</v>
      </c>
      <c r="S154" s="38"/>
      <c r="T154" s="40">
        <v>1216</v>
      </c>
    </row>
    <row r="155" spans="2:20" ht="15.6" x14ac:dyDescent="0.3">
      <c r="B155" s="32">
        <f t="shared" si="28"/>
        <v>20</v>
      </c>
      <c r="C155" s="32" t="s">
        <v>257</v>
      </c>
      <c r="D155" s="33" t="s">
        <v>258</v>
      </c>
      <c r="E155" s="34">
        <v>45291</v>
      </c>
      <c r="F155" s="35">
        <v>600</v>
      </c>
      <c r="G155" s="36">
        <v>10</v>
      </c>
      <c r="H155" s="37">
        <f t="shared" si="25"/>
        <v>60</v>
      </c>
      <c r="I155" s="35">
        <v>844.60583999999994</v>
      </c>
      <c r="J155" s="35">
        <v>1620.629081</v>
      </c>
      <c r="K155" s="35">
        <f>443.680886+113.043577+2.172158+27.289279</f>
        <v>586.18589999999995</v>
      </c>
      <c r="L155" s="35">
        <v>2.3226170000000002</v>
      </c>
      <c r="M155" s="35">
        <v>163.93419</v>
      </c>
      <c r="N155" s="37">
        <f t="shared" si="26"/>
        <v>47.629868000000002</v>
      </c>
      <c r="O155" s="35">
        <v>116.304322</v>
      </c>
      <c r="P155" s="38">
        <v>2.5</v>
      </c>
      <c r="Q155" s="38">
        <v>7.5</v>
      </c>
      <c r="R155" s="39">
        <f t="shared" si="27"/>
        <v>10</v>
      </c>
      <c r="S155" s="38"/>
      <c r="T155" s="40">
        <v>740</v>
      </c>
    </row>
    <row r="156" spans="2:20" ht="15.6" x14ac:dyDescent="0.3">
      <c r="B156" s="32">
        <f t="shared" si="28"/>
        <v>21</v>
      </c>
      <c r="C156" s="32" t="s">
        <v>259</v>
      </c>
      <c r="D156" s="33" t="s">
        <v>260</v>
      </c>
      <c r="E156" s="34">
        <v>45291</v>
      </c>
      <c r="F156" s="35">
        <f>1983.94462</f>
        <v>1983.94462</v>
      </c>
      <c r="G156" s="36">
        <v>10</v>
      </c>
      <c r="H156" s="37">
        <f t="shared" si="25"/>
        <v>198.394462</v>
      </c>
      <c r="I156" s="35">
        <v>2638.2609219999999</v>
      </c>
      <c r="J156" s="35">
        <v>7308.749006</v>
      </c>
      <c r="K156" s="35">
        <f>3084.66925+445.455205+86.160574</f>
        <v>3616.2850290000001</v>
      </c>
      <c r="L156" s="35">
        <v>24.713425999999998</v>
      </c>
      <c r="M156" s="35">
        <v>1172.4898209999999</v>
      </c>
      <c r="N156" s="37">
        <f t="shared" si="26"/>
        <v>45.470434999999952</v>
      </c>
      <c r="O156" s="35">
        <v>1127.0193859999999</v>
      </c>
      <c r="P156" s="38">
        <f>30</f>
        <v>30</v>
      </c>
      <c r="Q156" s="38">
        <v>0</v>
      </c>
      <c r="R156" s="39">
        <f t="shared" si="27"/>
        <v>30</v>
      </c>
      <c r="S156" s="38"/>
      <c r="T156" s="40">
        <v>674</v>
      </c>
    </row>
    <row r="157" spans="2:20" ht="15.6" x14ac:dyDescent="0.3">
      <c r="B157" s="32">
        <f t="shared" si="28"/>
        <v>22</v>
      </c>
      <c r="C157" s="32" t="s">
        <v>261</v>
      </c>
      <c r="D157" s="33" t="s">
        <v>262</v>
      </c>
      <c r="E157" s="34">
        <v>45291</v>
      </c>
      <c r="F157" s="35">
        <v>3467.5</v>
      </c>
      <c r="G157" s="36">
        <v>10</v>
      </c>
      <c r="H157" s="37">
        <f t="shared" si="25"/>
        <v>346.75</v>
      </c>
      <c r="I157" s="35">
        <v>4371.8121929999998</v>
      </c>
      <c r="J157" s="35">
        <v>13862.728865999999</v>
      </c>
      <c r="K157" s="35">
        <f>3629.604889+134.803838+2.2878+165.664272</f>
        <v>3932.360799</v>
      </c>
      <c r="L157" s="35">
        <v>15.793098000000001</v>
      </c>
      <c r="M157" s="35">
        <v>1370.213215</v>
      </c>
      <c r="N157" s="37">
        <f t="shared" si="26"/>
        <v>364.78354999999999</v>
      </c>
      <c r="O157" s="35">
        <v>1005.429665</v>
      </c>
      <c r="P157" s="38">
        <f>10+15+10</f>
        <v>35</v>
      </c>
      <c r="Q157" s="38">
        <v>0</v>
      </c>
      <c r="R157" s="39">
        <f t="shared" si="27"/>
        <v>35</v>
      </c>
      <c r="S157" s="38"/>
      <c r="T157" s="40">
        <v>1313</v>
      </c>
    </row>
    <row r="158" spans="2:20" ht="15.6" x14ac:dyDescent="0.3">
      <c r="B158" s="32">
        <f t="shared" si="28"/>
        <v>23</v>
      </c>
      <c r="C158" s="32" t="s">
        <v>263</v>
      </c>
      <c r="D158" s="33" t="s">
        <v>264</v>
      </c>
      <c r="E158" s="34">
        <v>45291</v>
      </c>
      <c r="F158" s="35">
        <v>500</v>
      </c>
      <c r="G158" s="36">
        <v>10</v>
      </c>
      <c r="H158" s="37">
        <f t="shared" si="25"/>
        <v>50</v>
      </c>
      <c r="I158" s="35">
        <v>667.99300000000005</v>
      </c>
      <c r="J158" s="35">
        <v>859.30899999999997</v>
      </c>
      <c r="K158" s="35">
        <f>45.051+6.089+0.755+27.708</f>
        <v>79.603000000000009</v>
      </c>
      <c r="L158" s="35">
        <v>0</v>
      </c>
      <c r="M158" s="35">
        <v>-48.881</v>
      </c>
      <c r="N158" s="37">
        <f t="shared" si="26"/>
        <v>106.03</v>
      </c>
      <c r="O158" s="35">
        <v>-154.911</v>
      </c>
      <c r="P158" s="38">
        <v>0</v>
      </c>
      <c r="Q158" s="38">
        <v>0</v>
      </c>
      <c r="R158" s="39">
        <f t="shared" si="27"/>
        <v>0</v>
      </c>
      <c r="S158" s="38"/>
      <c r="T158" s="40">
        <v>899</v>
      </c>
    </row>
    <row r="159" spans="2:20" ht="15.6" x14ac:dyDescent="0.3">
      <c r="B159" s="27"/>
      <c r="C159" s="27"/>
      <c r="D159" s="27"/>
      <c r="E159" s="27"/>
      <c r="F159" s="27"/>
      <c r="G159" s="42"/>
      <c r="H159" s="43"/>
      <c r="I159" s="29"/>
      <c r="J159" s="29"/>
      <c r="K159" s="29"/>
      <c r="L159" s="29"/>
      <c r="M159" s="29"/>
      <c r="N159" s="44"/>
      <c r="O159" s="29"/>
      <c r="P159" s="29"/>
      <c r="Q159" s="29"/>
      <c r="R159" s="44"/>
      <c r="S159" s="29"/>
      <c r="T159" s="29"/>
    </row>
    <row r="160" spans="2:20" ht="18" x14ac:dyDescent="0.35">
      <c r="B160" s="27"/>
      <c r="C160" s="27"/>
      <c r="D160" s="55" t="s">
        <v>43</v>
      </c>
      <c r="E160" s="27"/>
      <c r="F160" s="27"/>
      <c r="G160" s="42"/>
      <c r="H160" s="43"/>
      <c r="I160" s="29"/>
      <c r="J160" s="29"/>
      <c r="K160" s="29"/>
      <c r="L160" s="29"/>
      <c r="M160" s="29"/>
      <c r="N160" s="44"/>
      <c r="O160" s="29"/>
      <c r="P160" s="29"/>
      <c r="Q160" s="29"/>
      <c r="R160" s="44"/>
      <c r="S160" s="29"/>
      <c r="T160" s="29"/>
    </row>
    <row r="161" spans="2:20" ht="15.6" x14ac:dyDescent="0.3">
      <c r="B161" s="32">
        <v>1</v>
      </c>
      <c r="C161" s="32" t="s">
        <v>265</v>
      </c>
      <c r="D161" s="33" t="s">
        <v>266</v>
      </c>
      <c r="E161" s="34">
        <v>45291</v>
      </c>
      <c r="F161" s="35"/>
      <c r="G161" s="36">
        <v>10</v>
      </c>
      <c r="H161" s="37">
        <f t="shared" ref="H161:H166" si="29">+F161/G161</f>
        <v>0</v>
      </c>
      <c r="I161" s="35"/>
      <c r="J161" s="35"/>
      <c r="K161" s="35"/>
      <c r="L161" s="35"/>
      <c r="M161" s="35"/>
      <c r="N161" s="37">
        <f t="shared" ref="N161:N166" si="30">+M161-O161</f>
        <v>0</v>
      </c>
      <c r="O161" s="35"/>
      <c r="P161" s="38"/>
      <c r="Q161" s="38"/>
      <c r="R161" s="39">
        <f t="shared" ref="R161:R166" si="31">SUM(P161:Q161)</f>
        <v>0</v>
      </c>
      <c r="S161" s="38"/>
      <c r="T161" s="40"/>
    </row>
    <row r="162" spans="2:20" ht="15.6" x14ac:dyDescent="0.3">
      <c r="B162" s="32">
        <f>+B161+1</f>
        <v>2</v>
      </c>
      <c r="C162" s="32" t="s">
        <v>267</v>
      </c>
      <c r="D162" s="33" t="s">
        <v>268</v>
      </c>
      <c r="E162" s="34">
        <v>45291</v>
      </c>
      <c r="F162" s="35">
        <v>350</v>
      </c>
      <c r="G162" s="36">
        <v>10</v>
      </c>
      <c r="H162" s="37">
        <f t="shared" si="29"/>
        <v>35</v>
      </c>
      <c r="I162" s="35">
        <v>-15.946</v>
      </c>
      <c r="J162" s="35">
        <v>92.972999999999999</v>
      </c>
      <c r="K162" s="35">
        <v>8.2469999999999999</v>
      </c>
      <c r="L162" s="35">
        <v>0</v>
      </c>
      <c r="M162" s="35">
        <v>1.9990000000000001</v>
      </c>
      <c r="N162" s="37">
        <f t="shared" si="30"/>
        <v>1.2370000000000001</v>
      </c>
      <c r="O162" s="35">
        <v>0.76200000000000001</v>
      </c>
      <c r="P162" s="38">
        <v>0</v>
      </c>
      <c r="Q162" s="38">
        <v>0</v>
      </c>
      <c r="R162" s="39">
        <f t="shared" si="31"/>
        <v>0</v>
      </c>
      <c r="S162" s="38"/>
      <c r="T162" s="40">
        <v>3370</v>
      </c>
    </row>
    <row r="163" spans="2:20" ht="15.6" x14ac:dyDescent="0.3">
      <c r="B163" s="32">
        <f t="shared" ref="B163:B166" si="32">+B162+1</f>
        <v>3</v>
      </c>
      <c r="C163" s="32" t="s">
        <v>269</v>
      </c>
      <c r="D163" s="33" t="s">
        <v>270</v>
      </c>
      <c r="E163" s="34">
        <v>45291</v>
      </c>
      <c r="F163" s="35"/>
      <c r="G163" s="36">
        <v>10</v>
      </c>
      <c r="H163" s="37">
        <f t="shared" si="29"/>
        <v>0</v>
      </c>
      <c r="I163" s="35"/>
      <c r="J163" s="35"/>
      <c r="K163" s="35"/>
      <c r="L163" s="35"/>
      <c r="M163" s="35"/>
      <c r="N163" s="37">
        <f t="shared" si="30"/>
        <v>0</v>
      </c>
      <c r="O163" s="35"/>
      <c r="P163" s="38"/>
      <c r="Q163" s="38"/>
      <c r="R163" s="39">
        <f t="shared" si="31"/>
        <v>0</v>
      </c>
      <c r="S163" s="38"/>
      <c r="T163" s="40"/>
    </row>
    <row r="164" spans="2:20" ht="15.6" x14ac:dyDescent="0.3">
      <c r="B164" s="32">
        <f t="shared" si="32"/>
        <v>4</v>
      </c>
      <c r="C164" s="32" t="s">
        <v>271</v>
      </c>
      <c r="D164" s="33" t="s">
        <v>272</v>
      </c>
      <c r="E164" s="34">
        <v>45291</v>
      </c>
      <c r="F164" s="35"/>
      <c r="G164" s="36">
        <v>10</v>
      </c>
      <c r="H164" s="37">
        <f t="shared" si="29"/>
        <v>0</v>
      </c>
      <c r="I164" s="35"/>
      <c r="J164" s="35"/>
      <c r="K164" s="35"/>
      <c r="L164" s="35"/>
      <c r="M164" s="35"/>
      <c r="N164" s="37">
        <f t="shared" si="30"/>
        <v>0</v>
      </c>
      <c r="O164" s="35"/>
      <c r="P164" s="38"/>
      <c r="Q164" s="38"/>
      <c r="R164" s="39">
        <f t="shared" si="31"/>
        <v>0</v>
      </c>
      <c r="S164" s="38"/>
      <c r="T164" s="40"/>
    </row>
    <row r="165" spans="2:20" ht="15.6" x14ac:dyDescent="0.3">
      <c r="B165" s="32">
        <f t="shared" si="32"/>
        <v>5</v>
      </c>
      <c r="C165" s="32" t="s">
        <v>273</v>
      </c>
      <c r="D165" s="33" t="s">
        <v>274</v>
      </c>
      <c r="E165" s="34">
        <v>45291</v>
      </c>
      <c r="F165" s="35"/>
      <c r="G165" s="36">
        <v>10</v>
      </c>
      <c r="H165" s="37">
        <f t="shared" si="29"/>
        <v>0</v>
      </c>
      <c r="I165" s="35"/>
      <c r="J165" s="35"/>
      <c r="K165" s="35"/>
      <c r="L165" s="35"/>
      <c r="M165" s="35"/>
      <c r="N165" s="37">
        <f t="shared" si="30"/>
        <v>0</v>
      </c>
      <c r="O165" s="35"/>
      <c r="P165" s="38"/>
      <c r="Q165" s="38"/>
      <c r="R165" s="39">
        <f t="shared" si="31"/>
        <v>0</v>
      </c>
      <c r="S165" s="38"/>
      <c r="T165" s="40"/>
    </row>
    <row r="166" spans="2:20" ht="15.6" x14ac:dyDescent="0.3">
      <c r="B166" s="32">
        <f t="shared" si="32"/>
        <v>6</v>
      </c>
      <c r="C166" s="32" t="s">
        <v>275</v>
      </c>
      <c r="D166" s="33" t="s">
        <v>276</v>
      </c>
      <c r="E166" s="34">
        <v>45291</v>
      </c>
      <c r="F166" s="35"/>
      <c r="G166" s="36">
        <v>10</v>
      </c>
      <c r="H166" s="37">
        <f t="shared" si="29"/>
        <v>0</v>
      </c>
      <c r="I166" s="35"/>
      <c r="J166" s="35"/>
      <c r="K166" s="35"/>
      <c r="L166" s="35"/>
      <c r="M166" s="35"/>
      <c r="N166" s="37">
        <f t="shared" si="30"/>
        <v>0</v>
      </c>
      <c r="O166" s="35"/>
      <c r="P166" s="38"/>
      <c r="Q166" s="38"/>
      <c r="R166" s="39">
        <f t="shared" si="31"/>
        <v>0</v>
      </c>
      <c r="S166" s="38"/>
      <c r="T166" s="40"/>
    </row>
    <row r="167" spans="2:20" ht="15.6" x14ac:dyDescent="0.3">
      <c r="B167" s="27"/>
      <c r="C167" s="27"/>
      <c r="D167" s="27"/>
      <c r="E167" s="27"/>
      <c r="F167" s="27"/>
      <c r="G167" s="42"/>
      <c r="H167" s="43"/>
      <c r="I167" s="29"/>
      <c r="J167" s="29"/>
      <c r="K167" s="29"/>
      <c r="L167" s="29"/>
      <c r="M167" s="29"/>
      <c r="N167" s="44"/>
      <c r="O167" s="29"/>
      <c r="P167" s="29"/>
      <c r="Q167" s="29"/>
      <c r="R167" s="44"/>
      <c r="S167" s="29"/>
      <c r="T167" s="29"/>
    </row>
    <row r="168" spans="2:20" ht="15.6" x14ac:dyDescent="0.3">
      <c r="B168" s="46">
        <f>COUNT(B136:B167)</f>
        <v>29</v>
      </c>
      <c r="C168" s="46"/>
      <c r="D168" s="47"/>
      <c r="E168" s="47"/>
      <c r="F168" s="47">
        <f>SUM(F136:F167)</f>
        <v>40646.378709999997</v>
      </c>
      <c r="G168" s="48"/>
      <c r="H168" s="49">
        <f t="shared" ref="H168:O168" si="33">SUM(H136:H167)</f>
        <v>4126.5752709999997</v>
      </c>
      <c r="I168" s="47">
        <f t="shared" si="33"/>
        <v>154935.487333</v>
      </c>
      <c r="J168" s="47">
        <f t="shared" si="33"/>
        <v>813539.83721499995</v>
      </c>
      <c r="K168" s="47">
        <f t="shared" si="33"/>
        <v>376903.27328399994</v>
      </c>
      <c r="L168" s="47">
        <f t="shared" si="33"/>
        <v>625.03351299999997</v>
      </c>
      <c r="M168" s="47">
        <f t="shared" si="33"/>
        <v>37734.161892000011</v>
      </c>
      <c r="N168" s="50">
        <f t="shared" si="33"/>
        <v>14493.267923999998</v>
      </c>
      <c r="O168" s="47">
        <f t="shared" si="33"/>
        <v>23240.893968</v>
      </c>
      <c r="P168" s="51"/>
      <c r="Q168" s="51"/>
      <c r="R168" s="52"/>
      <c r="S168" s="51"/>
      <c r="T168" s="53">
        <f>SUM(T136:T167)</f>
        <v>37931</v>
      </c>
    </row>
    <row r="169" spans="2:20" ht="15.6" x14ac:dyDescent="0.3">
      <c r="B169" s="27"/>
      <c r="C169" s="27"/>
      <c r="D169" s="27"/>
      <c r="E169" s="27"/>
      <c r="F169" s="27"/>
      <c r="G169" s="42"/>
      <c r="H169" s="43"/>
      <c r="I169" s="29"/>
      <c r="J169" s="29"/>
      <c r="K169" s="29"/>
      <c r="L169" s="29"/>
      <c r="M169" s="29"/>
      <c r="N169" s="44"/>
      <c r="O169" s="29"/>
      <c r="P169" s="29"/>
      <c r="Q169" s="29"/>
      <c r="R169" s="44"/>
      <c r="S169" s="29"/>
      <c r="T169" s="29"/>
    </row>
    <row r="170" spans="2:20" ht="15.6" x14ac:dyDescent="0.3">
      <c r="B170" s="27"/>
      <c r="C170" s="27"/>
      <c r="D170" s="27"/>
      <c r="E170" s="27"/>
      <c r="F170" s="27"/>
      <c r="G170" s="42"/>
      <c r="H170" s="43"/>
      <c r="I170" s="29"/>
      <c r="J170" s="29"/>
      <c r="K170" s="29"/>
      <c r="L170" s="29"/>
      <c r="M170" s="29"/>
      <c r="N170" s="44"/>
      <c r="O170" s="29"/>
      <c r="P170" s="29"/>
      <c r="Q170" s="29"/>
      <c r="R170" s="44"/>
      <c r="S170" s="29"/>
      <c r="T170" s="29"/>
    </row>
    <row r="171" spans="2:20" ht="18" x14ac:dyDescent="0.35">
      <c r="B171" s="27"/>
      <c r="C171" s="31">
        <v>7</v>
      </c>
      <c r="D171" s="31" t="s">
        <v>277</v>
      </c>
      <c r="E171" s="60"/>
      <c r="F171" s="60"/>
      <c r="G171" s="42"/>
      <c r="H171" s="43"/>
      <c r="I171" s="29"/>
      <c r="J171" s="29"/>
      <c r="K171" s="29"/>
      <c r="L171" s="29"/>
      <c r="M171" s="29"/>
      <c r="N171" s="44"/>
      <c r="O171" s="29"/>
      <c r="P171" s="29"/>
      <c r="Q171" s="29"/>
      <c r="R171" s="44"/>
      <c r="S171" s="29"/>
      <c r="T171" s="29"/>
    </row>
    <row r="172" spans="2:20" ht="15.6" x14ac:dyDescent="0.3">
      <c r="B172" s="27"/>
      <c r="C172" s="27"/>
      <c r="D172" s="27"/>
      <c r="E172" s="27"/>
      <c r="F172" s="27"/>
      <c r="G172" s="42"/>
      <c r="H172" s="43"/>
      <c r="I172" s="29"/>
      <c r="J172" s="29"/>
      <c r="K172" s="29"/>
      <c r="L172" s="29"/>
      <c r="M172" s="29"/>
      <c r="N172" s="44"/>
      <c r="O172" s="29"/>
      <c r="P172" s="29"/>
      <c r="Q172" s="29"/>
      <c r="R172" s="44"/>
      <c r="S172" s="29"/>
      <c r="T172" s="29"/>
    </row>
    <row r="173" spans="2:20" ht="15.6" x14ac:dyDescent="0.3">
      <c r="B173" s="59">
        <v>1</v>
      </c>
      <c r="C173" s="59" t="s">
        <v>278</v>
      </c>
      <c r="D173" s="33" t="s">
        <v>279</v>
      </c>
      <c r="E173" s="34">
        <v>45107</v>
      </c>
      <c r="F173" s="35">
        <v>22237</v>
      </c>
      <c r="G173" s="36">
        <v>10</v>
      </c>
      <c r="H173" s="37">
        <f>+F173/G173</f>
        <v>2223.6999999999998</v>
      </c>
      <c r="I173" s="35">
        <v>69496.346999999994</v>
      </c>
      <c r="J173" s="35">
        <v>70295.216</v>
      </c>
      <c r="K173" s="35">
        <v>4577.1469999999999</v>
      </c>
      <c r="L173" s="35">
        <v>0</v>
      </c>
      <c r="M173" s="35">
        <v>9291.8189999999995</v>
      </c>
      <c r="N173" s="37">
        <f>+M173-O173</f>
        <v>0</v>
      </c>
      <c r="O173" s="35">
        <v>9291.8189999999995</v>
      </c>
      <c r="P173" s="38">
        <f>4.3+4.3+4.5+5</f>
        <v>18.100000000000001</v>
      </c>
      <c r="Q173" s="38">
        <v>0</v>
      </c>
      <c r="R173" s="39">
        <f>SUM(P173:Q173)</f>
        <v>18.100000000000001</v>
      </c>
      <c r="S173" s="38"/>
      <c r="T173" s="40">
        <v>4854</v>
      </c>
    </row>
    <row r="174" spans="2:20" ht="15.6" x14ac:dyDescent="0.3">
      <c r="B174" s="59">
        <f>+B173+1</f>
        <v>2</v>
      </c>
      <c r="C174" s="59" t="s">
        <v>280</v>
      </c>
      <c r="D174" s="33" t="s">
        <v>281</v>
      </c>
      <c r="E174" s="34">
        <v>45107</v>
      </c>
      <c r="F174" s="35">
        <f>140*G174</f>
        <v>1400</v>
      </c>
      <c r="G174" s="36">
        <v>10</v>
      </c>
      <c r="H174" s="37">
        <f>+F174/G174</f>
        <v>140</v>
      </c>
      <c r="I174" s="35">
        <v>1855.49</v>
      </c>
      <c r="J174" s="35">
        <v>4113.18</v>
      </c>
      <c r="K174" s="35">
        <v>2849.8420000000001</v>
      </c>
      <c r="L174" s="35">
        <v>0</v>
      </c>
      <c r="M174" s="35">
        <v>408.291</v>
      </c>
      <c r="N174" s="37">
        <f>+M174-O174</f>
        <v>137.20799999999997</v>
      </c>
      <c r="O174" s="35">
        <v>271.08300000000003</v>
      </c>
      <c r="P174" s="38">
        <v>30</v>
      </c>
      <c r="Q174" s="38">
        <v>0</v>
      </c>
      <c r="R174" s="39">
        <f>SUM(P174:Q174)</f>
        <v>30</v>
      </c>
      <c r="S174" s="38"/>
      <c r="T174" s="40">
        <v>1444</v>
      </c>
    </row>
    <row r="175" spans="2:20" ht="15.6" x14ac:dyDescent="0.3">
      <c r="B175" s="27"/>
      <c r="C175" s="27"/>
      <c r="D175" s="27"/>
      <c r="E175" s="27"/>
      <c r="F175" s="27"/>
      <c r="G175" s="42"/>
      <c r="H175" s="43"/>
      <c r="I175" s="29"/>
      <c r="J175" s="29"/>
      <c r="K175" s="29"/>
      <c r="L175" s="29"/>
      <c r="M175" s="29"/>
      <c r="N175" s="44"/>
      <c r="O175" s="29"/>
      <c r="P175" s="29"/>
      <c r="Q175" s="29"/>
      <c r="R175" s="44"/>
      <c r="S175" s="29"/>
      <c r="T175" s="29"/>
    </row>
    <row r="176" spans="2:20" ht="15.6" x14ac:dyDescent="0.3">
      <c r="B176" s="46">
        <f>COUNT(B173:B175)</f>
        <v>2</v>
      </c>
      <c r="C176" s="46"/>
      <c r="D176" s="47"/>
      <c r="E176" s="47"/>
      <c r="F176" s="47">
        <f>SUM(F173:F175)</f>
        <v>23637</v>
      </c>
      <c r="G176" s="48"/>
      <c r="H176" s="49">
        <f t="shared" ref="H176:O176" si="34">SUM(H173:H175)</f>
        <v>2363.6999999999998</v>
      </c>
      <c r="I176" s="47">
        <f t="shared" si="34"/>
        <v>71351.837</v>
      </c>
      <c r="J176" s="47">
        <f t="shared" si="34"/>
        <v>74408.396000000008</v>
      </c>
      <c r="K176" s="47">
        <f t="shared" si="34"/>
        <v>7426.9889999999996</v>
      </c>
      <c r="L176" s="47">
        <f t="shared" si="34"/>
        <v>0</v>
      </c>
      <c r="M176" s="47">
        <f t="shared" si="34"/>
        <v>9700.1099999999988</v>
      </c>
      <c r="N176" s="50">
        <f t="shared" si="34"/>
        <v>137.20799999999997</v>
      </c>
      <c r="O176" s="47">
        <f t="shared" si="34"/>
        <v>9562.902</v>
      </c>
      <c r="P176" s="51"/>
      <c r="Q176" s="51"/>
      <c r="R176" s="52"/>
      <c r="S176" s="51"/>
      <c r="T176" s="53">
        <f>SUM(T173:T175)</f>
        <v>6298</v>
      </c>
    </row>
    <row r="177" spans="2:20" ht="15.6" x14ac:dyDescent="0.3">
      <c r="B177" s="62"/>
      <c r="C177" s="62"/>
      <c r="D177" s="71"/>
      <c r="E177" s="71"/>
      <c r="F177" s="71"/>
      <c r="G177" s="72"/>
      <c r="H177" s="73"/>
      <c r="I177" s="71"/>
      <c r="J177" s="71"/>
      <c r="K177" s="71"/>
      <c r="L177" s="71"/>
      <c r="M177" s="71"/>
      <c r="N177" s="73"/>
      <c r="O177" s="71"/>
      <c r="P177" s="74"/>
      <c r="Q177" s="74"/>
      <c r="R177" s="75"/>
      <c r="S177" s="74"/>
      <c r="T177" s="76"/>
    </row>
    <row r="178" spans="2:20" ht="15.6" x14ac:dyDescent="0.3">
      <c r="B178" s="27"/>
      <c r="C178" s="27"/>
      <c r="D178" s="27"/>
      <c r="E178" s="27"/>
      <c r="F178" s="27"/>
      <c r="G178" s="42"/>
      <c r="H178" s="43"/>
      <c r="I178" s="29"/>
      <c r="J178" s="29"/>
      <c r="K178" s="29"/>
      <c r="L178" s="29"/>
      <c r="M178" s="29"/>
      <c r="N178" s="44"/>
      <c r="O178" s="29"/>
      <c r="P178" s="29"/>
      <c r="Q178" s="29"/>
      <c r="R178" s="44"/>
      <c r="S178" s="29"/>
      <c r="T178" s="29"/>
    </row>
    <row r="179" spans="2:20" ht="18" x14ac:dyDescent="0.35">
      <c r="B179" s="27"/>
      <c r="C179" s="31">
        <v>8</v>
      </c>
      <c r="D179" s="31" t="s">
        <v>282</v>
      </c>
      <c r="E179" s="60"/>
      <c r="F179" s="60"/>
      <c r="G179" s="42"/>
      <c r="H179" s="43"/>
      <c r="I179" s="29"/>
      <c r="J179" s="29"/>
      <c r="K179" s="29"/>
      <c r="L179" s="29"/>
      <c r="M179" s="29"/>
      <c r="N179" s="44"/>
      <c r="O179" s="29"/>
      <c r="P179" s="29"/>
      <c r="Q179" s="29"/>
      <c r="R179" s="44"/>
      <c r="S179" s="29"/>
      <c r="T179" s="29"/>
    </row>
    <row r="180" spans="2:20" ht="15.6" x14ac:dyDescent="0.3">
      <c r="B180" s="27"/>
      <c r="C180" s="27"/>
      <c r="D180" s="27"/>
      <c r="E180" s="27"/>
      <c r="F180" s="27"/>
      <c r="G180" s="42"/>
      <c r="H180" s="43"/>
      <c r="I180" s="29"/>
      <c r="J180" s="29"/>
      <c r="K180" s="29"/>
      <c r="L180" s="29"/>
      <c r="M180" s="29"/>
      <c r="N180" s="44"/>
      <c r="O180" s="29"/>
      <c r="P180" s="29"/>
      <c r="Q180" s="29"/>
      <c r="R180" s="44"/>
      <c r="S180" s="29"/>
      <c r="T180" s="29"/>
    </row>
    <row r="182" spans="2:20" ht="15.6" x14ac:dyDescent="0.3">
      <c r="B182" s="59">
        <v>1</v>
      </c>
      <c r="C182" s="59" t="s">
        <v>283</v>
      </c>
      <c r="D182" s="33" t="s">
        <v>284</v>
      </c>
      <c r="E182" s="34">
        <v>45107</v>
      </c>
      <c r="F182" s="35">
        <f>13.1748*G182</f>
        <v>131.74799999999999</v>
      </c>
      <c r="G182" s="36">
        <v>10</v>
      </c>
      <c r="H182" s="37">
        <f t="shared" ref="H182:H216" si="35">+F182/G182</f>
        <v>13.174799999999999</v>
      </c>
      <c r="I182" s="35">
        <v>153.071</v>
      </c>
      <c r="J182" s="35">
        <v>564.702</v>
      </c>
      <c r="K182" s="35">
        <v>1577.693</v>
      </c>
      <c r="L182" s="35">
        <v>1.1919999999999999</v>
      </c>
      <c r="M182" s="35">
        <v>144.32499999999999</v>
      </c>
      <c r="N182" s="37">
        <f t="shared" ref="N182:N216" si="36">+M182-O182</f>
        <v>41.949999999999989</v>
      </c>
      <c r="O182" s="35">
        <v>102.375</v>
      </c>
      <c r="P182" s="38">
        <v>0</v>
      </c>
      <c r="Q182" s="38">
        <v>0</v>
      </c>
      <c r="R182" s="39">
        <f t="shared" ref="R182:R216" si="37">SUM(P182:Q182)</f>
        <v>0</v>
      </c>
      <c r="S182" s="38"/>
      <c r="T182" s="40">
        <v>1721</v>
      </c>
    </row>
    <row r="183" spans="2:20" ht="15.6" x14ac:dyDescent="0.3">
      <c r="B183" s="59">
        <f>+B182+1</f>
        <v>2</v>
      </c>
      <c r="C183" s="59" t="s">
        <v>285</v>
      </c>
      <c r="D183" s="33" t="s">
        <v>286</v>
      </c>
      <c r="E183" s="34">
        <v>45107</v>
      </c>
      <c r="F183" s="35">
        <f>15.177*G183</f>
        <v>151.76999999999998</v>
      </c>
      <c r="G183" s="36">
        <v>10</v>
      </c>
      <c r="H183" s="37">
        <f t="shared" si="35"/>
        <v>15.176999999999998</v>
      </c>
      <c r="I183" s="35">
        <v>354.81966699999998</v>
      </c>
      <c r="J183" s="35">
        <v>1158.417653</v>
      </c>
      <c r="K183" s="35">
        <v>354.678335</v>
      </c>
      <c r="L183" s="35">
        <v>0.139432</v>
      </c>
      <c r="M183" s="35">
        <v>-41.222966999999997</v>
      </c>
      <c r="N183" s="37">
        <f t="shared" si="36"/>
        <v>-11.714059999999996</v>
      </c>
      <c r="O183" s="35">
        <v>-29.508907000000001</v>
      </c>
      <c r="P183" s="38">
        <v>0</v>
      </c>
      <c r="Q183" s="38">
        <v>0</v>
      </c>
      <c r="R183" s="39">
        <f t="shared" si="37"/>
        <v>0</v>
      </c>
      <c r="S183" s="38"/>
      <c r="T183" s="40">
        <v>2025</v>
      </c>
    </row>
    <row r="184" spans="2:20" ht="15.6" x14ac:dyDescent="0.3">
      <c r="B184" s="59">
        <f t="shared" ref="B184:B216" si="38">+B183+1</f>
        <v>3</v>
      </c>
      <c r="C184" s="59" t="s">
        <v>287</v>
      </c>
      <c r="D184" s="33" t="s">
        <v>288</v>
      </c>
      <c r="E184" s="34">
        <v>45107</v>
      </c>
      <c r="F184" s="35">
        <f>0.8*G184</f>
        <v>8</v>
      </c>
      <c r="G184" s="36">
        <v>10</v>
      </c>
      <c r="H184" s="37">
        <f t="shared" si="35"/>
        <v>0.8</v>
      </c>
      <c r="I184" s="35">
        <v>1568.240407</v>
      </c>
      <c r="J184" s="35">
        <v>3968.596939</v>
      </c>
      <c r="K184" s="35">
        <v>3775.8056139999999</v>
      </c>
      <c r="L184" s="35">
        <v>248.851134</v>
      </c>
      <c r="M184" s="35">
        <v>-200.669386</v>
      </c>
      <c r="N184" s="37">
        <f t="shared" si="36"/>
        <v>-35.90275299999999</v>
      </c>
      <c r="O184" s="35">
        <v>-164.76663300000001</v>
      </c>
      <c r="P184" s="38">
        <v>0</v>
      </c>
      <c r="Q184" s="38">
        <v>0</v>
      </c>
      <c r="R184" s="39">
        <f t="shared" si="37"/>
        <v>0</v>
      </c>
      <c r="S184" s="38"/>
      <c r="T184" s="40">
        <v>176</v>
      </c>
    </row>
    <row r="185" spans="2:20" ht="15.6" x14ac:dyDescent="0.3">
      <c r="B185" s="59">
        <f t="shared" si="38"/>
        <v>4</v>
      </c>
      <c r="C185" s="59" t="s">
        <v>289</v>
      </c>
      <c r="D185" s="33" t="s">
        <v>290</v>
      </c>
      <c r="E185" s="34">
        <v>45107</v>
      </c>
      <c r="F185" s="35">
        <f>22.660123*G185</f>
        <v>226.60122999999999</v>
      </c>
      <c r="G185" s="36">
        <v>10</v>
      </c>
      <c r="H185" s="37">
        <f t="shared" si="35"/>
        <v>22.660122999999999</v>
      </c>
      <c r="I185" s="35">
        <v>6102.085</v>
      </c>
      <c r="J185" s="35">
        <v>8211.0310000000009</v>
      </c>
      <c r="K185" s="35">
        <v>6386.2089999999998</v>
      </c>
      <c r="L185" s="35">
        <v>109.798</v>
      </c>
      <c r="M185" s="35">
        <v>186.953</v>
      </c>
      <c r="N185" s="37">
        <f t="shared" si="36"/>
        <v>72.168000000000006</v>
      </c>
      <c r="O185" s="35">
        <v>114.785</v>
      </c>
      <c r="P185" s="38">
        <v>0</v>
      </c>
      <c r="Q185" s="38">
        <v>0</v>
      </c>
      <c r="R185" s="39">
        <f t="shared" si="37"/>
        <v>0</v>
      </c>
      <c r="S185" s="38"/>
      <c r="T185" s="40">
        <v>1427</v>
      </c>
    </row>
    <row r="186" spans="2:20" ht="15.6" x14ac:dyDescent="0.3">
      <c r="B186" s="59">
        <f t="shared" si="38"/>
        <v>5</v>
      </c>
      <c r="C186" s="59" t="s">
        <v>291</v>
      </c>
      <c r="D186" s="33" t="s">
        <v>292</v>
      </c>
      <c r="E186" s="34">
        <v>45107</v>
      </c>
      <c r="F186" s="35">
        <f>12.417876*G186</f>
        <v>124.17876</v>
      </c>
      <c r="G186" s="36">
        <v>10</v>
      </c>
      <c r="H186" s="37">
        <f t="shared" si="35"/>
        <v>12.417876</v>
      </c>
      <c r="I186" s="35">
        <v>4710.3367850000004</v>
      </c>
      <c r="J186" s="35">
        <v>7688.1498680000004</v>
      </c>
      <c r="K186" s="35">
        <v>6847.5714010000002</v>
      </c>
      <c r="L186" s="35">
        <v>287.724827</v>
      </c>
      <c r="M186" s="35">
        <v>343.202516</v>
      </c>
      <c r="N186" s="37">
        <f t="shared" si="36"/>
        <v>-32.702730999999972</v>
      </c>
      <c r="O186" s="35">
        <v>375.90524699999997</v>
      </c>
      <c r="P186" s="38">
        <v>0</v>
      </c>
      <c r="Q186" s="38">
        <v>0</v>
      </c>
      <c r="R186" s="39">
        <f t="shared" si="37"/>
        <v>0</v>
      </c>
      <c r="S186" s="38"/>
      <c r="T186" s="40">
        <v>1430</v>
      </c>
    </row>
    <row r="187" spans="2:20" ht="15.6" x14ac:dyDescent="0.3">
      <c r="B187" s="59">
        <f t="shared" si="38"/>
        <v>6</v>
      </c>
      <c r="C187" s="59" t="s">
        <v>293</v>
      </c>
      <c r="D187" s="33" t="s">
        <v>294</v>
      </c>
      <c r="E187" s="34">
        <v>45107</v>
      </c>
      <c r="F187" s="35">
        <f>498.01*G187</f>
        <v>4980.1000000000004</v>
      </c>
      <c r="G187" s="36">
        <v>10</v>
      </c>
      <c r="H187" s="37">
        <f t="shared" si="35"/>
        <v>498.01000000000005</v>
      </c>
      <c r="I187" s="35">
        <v>10990.441000000001</v>
      </c>
      <c r="J187" s="35">
        <v>29767.886999999999</v>
      </c>
      <c r="K187" s="35">
        <v>20852.723999999998</v>
      </c>
      <c r="L187" s="35">
        <v>1045.548</v>
      </c>
      <c r="M187" s="35">
        <v>650.91700000000003</v>
      </c>
      <c r="N187" s="37">
        <f t="shared" si="36"/>
        <v>-173.45999999999992</v>
      </c>
      <c r="O187" s="35">
        <v>824.37699999999995</v>
      </c>
      <c r="P187" s="38">
        <v>0</v>
      </c>
      <c r="Q187" s="38">
        <v>0</v>
      </c>
      <c r="R187" s="39">
        <f t="shared" si="37"/>
        <v>0</v>
      </c>
      <c r="S187" s="38"/>
      <c r="T187" s="40">
        <v>2856</v>
      </c>
    </row>
    <row r="188" spans="2:20" ht="15.6" x14ac:dyDescent="0.3">
      <c r="B188" s="59">
        <f t="shared" si="38"/>
        <v>7</v>
      </c>
      <c r="C188" s="59" t="s">
        <v>295</v>
      </c>
      <c r="D188" s="33" t="s">
        <v>296</v>
      </c>
      <c r="E188" s="34">
        <v>45107</v>
      </c>
      <c r="F188" s="35">
        <f>97.750726*G188</f>
        <v>977.50725999999997</v>
      </c>
      <c r="G188" s="36">
        <v>10</v>
      </c>
      <c r="H188" s="37">
        <f t="shared" si="35"/>
        <v>97.750726</v>
      </c>
      <c r="I188" s="35">
        <v>1524.3190279999999</v>
      </c>
      <c r="J188" s="35">
        <v>3221.2091030000001</v>
      </c>
      <c r="K188" s="35">
        <v>488.34368999999998</v>
      </c>
      <c r="L188" s="35">
        <v>71.024480999999994</v>
      </c>
      <c r="M188" s="35">
        <v>-308.47576099999998</v>
      </c>
      <c r="N188" s="37">
        <f t="shared" si="36"/>
        <v>-21.87486899999999</v>
      </c>
      <c r="O188" s="35">
        <v>-286.60089199999999</v>
      </c>
      <c r="P188" s="38">
        <v>0</v>
      </c>
      <c r="Q188" s="38">
        <v>0</v>
      </c>
      <c r="R188" s="39">
        <f t="shared" si="37"/>
        <v>0</v>
      </c>
      <c r="S188" s="38"/>
      <c r="T188" s="40">
        <v>2216</v>
      </c>
    </row>
    <row r="189" spans="2:20" ht="15.6" x14ac:dyDescent="0.3">
      <c r="B189" s="59">
        <f t="shared" si="38"/>
        <v>8</v>
      </c>
      <c r="C189" s="59" t="s">
        <v>297</v>
      </c>
      <c r="D189" s="33" t="s">
        <v>298</v>
      </c>
      <c r="E189" s="34">
        <v>45107</v>
      </c>
      <c r="F189" s="35">
        <f>52.46675*G189</f>
        <v>524.66750000000002</v>
      </c>
      <c r="G189" s="36">
        <v>10</v>
      </c>
      <c r="H189" s="37">
        <f t="shared" si="35"/>
        <v>52.466750000000005</v>
      </c>
      <c r="I189" s="35">
        <v>10539.725194000001</v>
      </c>
      <c r="J189" s="35">
        <f>16297.889724+21694.084477</f>
        <v>37991.974201000005</v>
      </c>
      <c r="K189" s="35">
        <v>32313.734893000001</v>
      </c>
      <c r="L189" s="35">
        <v>3013.3946019999998</v>
      </c>
      <c r="M189" s="35">
        <v>-624.32895099999996</v>
      </c>
      <c r="N189" s="37">
        <f t="shared" si="36"/>
        <v>243.19410800000003</v>
      </c>
      <c r="O189" s="35">
        <v>-867.52305899999999</v>
      </c>
      <c r="P189" s="38">
        <v>0</v>
      </c>
      <c r="Q189" s="38">
        <v>0</v>
      </c>
      <c r="R189" s="39">
        <f t="shared" si="37"/>
        <v>0</v>
      </c>
      <c r="S189" s="38"/>
      <c r="T189" s="40">
        <v>851</v>
      </c>
    </row>
    <row r="190" spans="2:20" ht="15.6" x14ac:dyDescent="0.3">
      <c r="B190" s="59">
        <f t="shared" si="38"/>
        <v>9</v>
      </c>
      <c r="C190" s="59" t="s">
        <v>299</v>
      </c>
      <c r="D190" s="33" t="s">
        <v>300</v>
      </c>
      <c r="E190" s="34">
        <v>45107</v>
      </c>
      <c r="F190" s="35">
        <f>83.685631*G190</f>
        <v>836.85631000000001</v>
      </c>
      <c r="G190" s="36">
        <v>10</v>
      </c>
      <c r="H190" s="37">
        <f t="shared" si="35"/>
        <v>83.685631000000001</v>
      </c>
      <c r="I190" s="35">
        <v>187.247727</v>
      </c>
      <c r="J190" s="35">
        <v>298.10149899999999</v>
      </c>
      <c r="K190" s="35">
        <v>37.179661000000003</v>
      </c>
      <c r="L190" s="35">
        <v>8.9505000000000001E-2</v>
      </c>
      <c r="M190" s="35">
        <v>3.783887</v>
      </c>
      <c r="N190" s="37">
        <f t="shared" si="36"/>
        <v>18.209800000000001</v>
      </c>
      <c r="O190" s="35">
        <v>-14.425913</v>
      </c>
      <c r="P190" s="38">
        <v>0</v>
      </c>
      <c r="Q190" s="38">
        <v>0</v>
      </c>
      <c r="R190" s="39">
        <f t="shared" si="37"/>
        <v>0</v>
      </c>
      <c r="S190" s="38"/>
      <c r="T190" s="40">
        <v>1735</v>
      </c>
    </row>
    <row r="191" spans="2:20" ht="15.6" x14ac:dyDescent="0.3">
      <c r="B191" s="59">
        <f t="shared" si="38"/>
        <v>10</v>
      </c>
      <c r="C191" s="59" t="s">
        <v>301</v>
      </c>
      <c r="D191" s="33" t="s">
        <v>302</v>
      </c>
      <c r="E191" s="34">
        <v>45107</v>
      </c>
      <c r="F191" s="35">
        <f>1.3*G191</f>
        <v>13</v>
      </c>
      <c r="G191" s="36">
        <v>10</v>
      </c>
      <c r="H191" s="37">
        <f t="shared" si="35"/>
        <v>1.3</v>
      </c>
      <c r="I191" s="35">
        <v>102.945099</v>
      </c>
      <c r="J191" s="35">
        <v>238.686206</v>
      </c>
      <c r="K191" s="35">
        <v>801.296425</v>
      </c>
      <c r="L191" s="35">
        <v>0.48607</v>
      </c>
      <c r="M191" s="35">
        <v>9.4299529999999994</v>
      </c>
      <c r="N191" s="37">
        <f t="shared" si="36"/>
        <v>8.6098719999999993</v>
      </c>
      <c r="O191" s="35">
        <v>0.82008099999999995</v>
      </c>
      <c r="P191" s="38">
        <v>0</v>
      </c>
      <c r="Q191" s="38">
        <v>0</v>
      </c>
      <c r="R191" s="39">
        <f t="shared" si="37"/>
        <v>0</v>
      </c>
      <c r="S191" s="38"/>
      <c r="T191" s="40">
        <v>129</v>
      </c>
    </row>
    <row r="192" spans="2:20" ht="15.6" x14ac:dyDescent="0.3">
      <c r="B192" s="59">
        <f t="shared" si="38"/>
        <v>11</v>
      </c>
      <c r="C192" s="59" t="s">
        <v>303</v>
      </c>
      <c r="D192" s="33" t="s">
        <v>304</v>
      </c>
      <c r="E192" s="34">
        <v>45107</v>
      </c>
      <c r="F192" s="35">
        <f>10.95*G192</f>
        <v>109.5</v>
      </c>
      <c r="G192" s="36">
        <v>10</v>
      </c>
      <c r="H192" s="37">
        <f t="shared" si="35"/>
        <v>10.95</v>
      </c>
      <c r="I192" s="35">
        <v>4020.5875059999998</v>
      </c>
      <c r="J192" s="35">
        <v>10600.746972999999</v>
      </c>
      <c r="K192" s="35">
        <v>12224.217632</v>
      </c>
      <c r="L192" s="35">
        <v>188.91266300000001</v>
      </c>
      <c r="M192" s="35">
        <v>572.05881899999997</v>
      </c>
      <c r="N192" s="37">
        <f t="shared" si="36"/>
        <v>152.32372899999996</v>
      </c>
      <c r="O192" s="35">
        <v>419.73509000000001</v>
      </c>
      <c r="P192" s="38">
        <v>60</v>
      </c>
      <c r="Q192" s="38">
        <v>0</v>
      </c>
      <c r="R192" s="39">
        <f t="shared" si="37"/>
        <v>60</v>
      </c>
      <c r="S192" s="38"/>
      <c r="T192" s="40">
        <v>493</v>
      </c>
    </row>
    <row r="193" spans="2:20" ht="15.6" x14ac:dyDescent="0.3">
      <c r="B193" s="59">
        <f t="shared" si="38"/>
        <v>12</v>
      </c>
      <c r="C193" s="59" t="s">
        <v>305</v>
      </c>
      <c r="D193" s="33" t="s">
        <v>306</v>
      </c>
      <c r="E193" s="34">
        <v>45107</v>
      </c>
      <c r="F193" s="35">
        <v>280.29583000000002</v>
      </c>
      <c r="G193" s="36">
        <v>10</v>
      </c>
      <c r="H193" s="37">
        <f t="shared" si="35"/>
        <v>28.029583000000002</v>
      </c>
      <c r="I193" s="35">
        <v>20691.202000000001</v>
      </c>
      <c r="J193" s="35">
        <v>59239.224000000002</v>
      </c>
      <c r="K193" s="35">
        <v>57997.24</v>
      </c>
      <c r="L193" s="35">
        <v>2148.63</v>
      </c>
      <c r="M193" s="35">
        <v>4782.2830000000004</v>
      </c>
      <c r="N193" s="37">
        <f t="shared" si="36"/>
        <v>1490.4160000000002</v>
      </c>
      <c r="O193" s="35">
        <v>3291.8670000000002</v>
      </c>
      <c r="P193" s="38">
        <v>0</v>
      </c>
      <c r="Q193" s="38">
        <v>0</v>
      </c>
      <c r="R193" s="39">
        <f t="shared" si="37"/>
        <v>0</v>
      </c>
      <c r="S193" s="38"/>
      <c r="T193" s="40">
        <v>2018</v>
      </c>
    </row>
    <row r="194" spans="2:20" ht="15.6" x14ac:dyDescent="0.3">
      <c r="B194" s="59">
        <f t="shared" si="38"/>
        <v>13</v>
      </c>
      <c r="C194" s="59" t="s">
        <v>307</v>
      </c>
      <c r="D194" s="33" t="s">
        <v>308</v>
      </c>
      <c r="E194" s="34">
        <v>45107</v>
      </c>
      <c r="F194" s="35">
        <f>19.8528*G194</f>
        <v>198.52799999999999</v>
      </c>
      <c r="G194" s="36">
        <v>10</v>
      </c>
      <c r="H194" s="37">
        <f t="shared" si="35"/>
        <v>19.852799999999998</v>
      </c>
      <c r="I194" s="35">
        <v>2567.5709729999999</v>
      </c>
      <c r="J194" s="35">
        <v>6108.2383620000001</v>
      </c>
      <c r="K194" s="35">
        <v>4200.1409370000001</v>
      </c>
      <c r="L194" s="35">
        <v>306.86444599999999</v>
      </c>
      <c r="M194" s="35">
        <v>-34.520220999999999</v>
      </c>
      <c r="N194" s="37">
        <f t="shared" si="36"/>
        <v>-22.026219999999999</v>
      </c>
      <c r="O194" s="35">
        <v>-12.494001000000001</v>
      </c>
      <c r="P194" s="38">
        <v>0</v>
      </c>
      <c r="Q194" s="38">
        <v>0</v>
      </c>
      <c r="R194" s="39">
        <f t="shared" si="37"/>
        <v>0</v>
      </c>
      <c r="S194" s="38"/>
      <c r="T194" s="40">
        <v>1419</v>
      </c>
    </row>
    <row r="195" spans="2:20" ht="15.6" x14ac:dyDescent="0.3">
      <c r="B195" s="59">
        <f t="shared" si="38"/>
        <v>14</v>
      </c>
      <c r="C195" s="59" t="s">
        <v>309</v>
      </c>
      <c r="D195" s="33" t="s">
        <v>310</v>
      </c>
      <c r="E195" s="34">
        <v>45107</v>
      </c>
      <c r="F195" s="35">
        <f>9.92*G195</f>
        <v>99.2</v>
      </c>
      <c r="G195" s="36">
        <v>10</v>
      </c>
      <c r="H195" s="37">
        <f t="shared" si="35"/>
        <v>9.92</v>
      </c>
      <c r="I195" s="35">
        <v>803.98900000000003</v>
      </c>
      <c r="J195" s="35">
        <v>3678.8449999999998</v>
      </c>
      <c r="K195" s="35">
        <v>6859.8419999999996</v>
      </c>
      <c r="L195" s="35">
        <v>283.69900000000001</v>
      </c>
      <c r="M195" s="35">
        <v>-585.09799999999996</v>
      </c>
      <c r="N195" s="37">
        <f t="shared" si="36"/>
        <v>-31.027999999999906</v>
      </c>
      <c r="O195" s="35">
        <v>-554.07000000000005</v>
      </c>
      <c r="P195" s="38">
        <v>0</v>
      </c>
      <c r="Q195" s="38">
        <v>0</v>
      </c>
      <c r="R195" s="39">
        <f t="shared" si="37"/>
        <v>0</v>
      </c>
      <c r="S195" s="38"/>
      <c r="T195" s="40">
        <v>1334</v>
      </c>
    </row>
    <row r="196" spans="2:20" ht="15.6" x14ac:dyDescent="0.3">
      <c r="B196" s="59">
        <f t="shared" si="38"/>
        <v>15</v>
      </c>
      <c r="C196" s="59" t="s">
        <v>311</v>
      </c>
      <c r="D196" s="33" t="s">
        <v>312</v>
      </c>
      <c r="E196" s="34">
        <v>45107</v>
      </c>
      <c r="F196" s="35">
        <v>542.21193000000005</v>
      </c>
      <c r="G196" s="36">
        <v>10</v>
      </c>
      <c r="H196" s="37">
        <f t="shared" si="35"/>
        <v>54.221193000000007</v>
      </c>
      <c r="I196" s="35">
        <v>23832.204000000002</v>
      </c>
      <c r="J196" s="35">
        <v>45461.504000000001</v>
      </c>
      <c r="K196" s="35">
        <v>49318.538999999997</v>
      </c>
      <c r="L196" s="35">
        <v>1567.8530000000001</v>
      </c>
      <c r="M196" s="35">
        <v>1188.9760000000001</v>
      </c>
      <c r="N196" s="37">
        <f t="shared" si="36"/>
        <v>481.02400000000011</v>
      </c>
      <c r="O196" s="35">
        <v>707.952</v>
      </c>
      <c r="P196" s="38">
        <f>20</f>
        <v>20</v>
      </c>
      <c r="Q196" s="38">
        <v>0</v>
      </c>
      <c r="R196" s="39">
        <f t="shared" si="37"/>
        <v>20</v>
      </c>
      <c r="S196" s="38"/>
      <c r="T196" s="40">
        <v>2200</v>
      </c>
    </row>
    <row r="197" spans="2:20" ht="15.6" x14ac:dyDescent="0.3">
      <c r="B197" s="59">
        <f t="shared" si="38"/>
        <v>16</v>
      </c>
      <c r="C197" s="59" t="s">
        <v>313</v>
      </c>
      <c r="D197" s="45" t="s">
        <v>314</v>
      </c>
      <c r="E197" s="34">
        <v>45107</v>
      </c>
      <c r="F197" s="78">
        <f>12.6012*G197</f>
        <v>126.012</v>
      </c>
      <c r="G197" s="79">
        <v>10</v>
      </c>
      <c r="H197" s="80">
        <f t="shared" si="35"/>
        <v>12.6012</v>
      </c>
      <c r="I197" s="78">
        <v>479.999414</v>
      </c>
      <c r="J197" s="78">
        <v>822.72562000000005</v>
      </c>
      <c r="K197" s="78">
        <v>33.685699999999997</v>
      </c>
      <c r="L197" s="78">
        <v>0.37238599999999999</v>
      </c>
      <c r="M197" s="78">
        <v>-35.987976000000003</v>
      </c>
      <c r="N197" s="80">
        <f t="shared" si="36"/>
        <v>-2.4165310000000062</v>
      </c>
      <c r="O197" s="78">
        <v>-33.571444999999997</v>
      </c>
      <c r="P197" s="81">
        <v>0</v>
      </c>
      <c r="Q197" s="81">
        <v>0</v>
      </c>
      <c r="R197" s="82">
        <f t="shared" si="37"/>
        <v>0</v>
      </c>
      <c r="S197" s="81"/>
      <c r="T197" s="83">
        <v>1735</v>
      </c>
    </row>
    <row r="198" spans="2:20" ht="15.6" x14ac:dyDescent="0.3">
      <c r="B198" s="59">
        <f t="shared" si="38"/>
        <v>17</v>
      </c>
      <c r="C198" s="59" t="s">
        <v>315</v>
      </c>
      <c r="D198" s="33" t="s">
        <v>316</v>
      </c>
      <c r="E198" s="34">
        <v>45107</v>
      </c>
      <c r="F198" s="35">
        <v>69.158000000000001</v>
      </c>
      <c r="G198" s="36">
        <v>10</v>
      </c>
      <c r="H198" s="37">
        <f t="shared" si="35"/>
        <v>6.9157999999999999</v>
      </c>
      <c r="I198" s="35">
        <v>6568.1289999999999</v>
      </c>
      <c r="J198" s="35">
        <v>9636.3860000000004</v>
      </c>
      <c r="K198" s="35">
        <v>6016.527</v>
      </c>
      <c r="L198" s="35">
        <v>324.94</v>
      </c>
      <c r="M198" s="35">
        <v>-102.68600000000001</v>
      </c>
      <c r="N198" s="37">
        <f t="shared" si="36"/>
        <v>-22.410000000000011</v>
      </c>
      <c r="O198" s="35">
        <v>-80.275999999999996</v>
      </c>
      <c r="P198" s="38">
        <v>0</v>
      </c>
      <c r="Q198" s="38">
        <v>0</v>
      </c>
      <c r="R198" s="39">
        <f t="shared" si="37"/>
        <v>0</v>
      </c>
      <c r="S198" s="38"/>
      <c r="T198" s="40">
        <v>2696</v>
      </c>
    </row>
    <row r="199" spans="2:20" ht="15.6" x14ac:dyDescent="0.3">
      <c r="B199" s="59">
        <f t="shared" si="38"/>
        <v>18</v>
      </c>
      <c r="C199" s="59" t="s">
        <v>317</v>
      </c>
      <c r="D199" s="33" t="s">
        <v>318</v>
      </c>
      <c r="E199" s="34">
        <v>45107</v>
      </c>
      <c r="F199" s="35">
        <f>102.317502*G199</f>
        <v>1023.17502</v>
      </c>
      <c r="G199" s="36">
        <v>10</v>
      </c>
      <c r="H199" s="37">
        <f t="shared" si="35"/>
        <v>102.317502</v>
      </c>
      <c r="I199" s="35">
        <v>12488.47</v>
      </c>
      <c r="J199" s="35">
        <v>27513.581999999999</v>
      </c>
      <c r="K199" s="35">
        <v>36128.678999999996</v>
      </c>
      <c r="L199" s="35">
        <v>955.976</v>
      </c>
      <c r="M199" s="35">
        <v>1962.144</v>
      </c>
      <c r="N199" s="37">
        <f t="shared" si="36"/>
        <v>142.04500000000007</v>
      </c>
      <c r="O199" s="35">
        <v>1820.0989999999999</v>
      </c>
      <c r="P199" s="38">
        <v>0</v>
      </c>
      <c r="Q199" s="38">
        <v>0</v>
      </c>
      <c r="R199" s="39">
        <f t="shared" si="37"/>
        <v>0</v>
      </c>
      <c r="S199" s="38"/>
      <c r="T199" s="40">
        <v>298</v>
      </c>
    </row>
    <row r="200" spans="2:20" ht="15.6" x14ac:dyDescent="0.3">
      <c r="B200" s="59">
        <f t="shared" si="38"/>
        <v>19</v>
      </c>
      <c r="C200" s="59" t="s">
        <v>319</v>
      </c>
      <c r="D200" s="45" t="s">
        <v>320</v>
      </c>
      <c r="E200" s="34">
        <v>45107</v>
      </c>
      <c r="F200" s="78">
        <f>20.8*G200</f>
        <v>208</v>
      </c>
      <c r="G200" s="79">
        <v>10</v>
      </c>
      <c r="H200" s="80">
        <f t="shared" si="35"/>
        <v>20.8</v>
      </c>
      <c r="I200" s="78">
        <v>3709.0610000000001</v>
      </c>
      <c r="J200" s="78">
        <v>7798.6139999999996</v>
      </c>
      <c r="K200" s="78">
        <v>5952.2619999999997</v>
      </c>
      <c r="L200" s="78">
        <v>470.18700000000001</v>
      </c>
      <c r="M200" s="78">
        <v>140.14500000000001</v>
      </c>
      <c r="N200" s="80">
        <f t="shared" si="36"/>
        <v>54.991000000000014</v>
      </c>
      <c r="O200" s="78">
        <v>85.153999999999996</v>
      </c>
      <c r="P200" s="81">
        <v>0</v>
      </c>
      <c r="Q200" s="81">
        <v>0</v>
      </c>
      <c r="R200" s="82">
        <f t="shared" si="37"/>
        <v>0</v>
      </c>
      <c r="S200" s="81"/>
      <c r="T200" s="83">
        <v>779</v>
      </c>
    </row>
    <row r="201" spans="2:20" ht="15.6" x14ac:dyDescent="0.3">
      <c r="B201" s="59">
        <f t="shared" si="38"/>
        <v>20</v>
      </c>
      <c r="C201" s="59" t="s">
        <v>321</v>
      </c>
      <c r="D201" s="33" t="s">
        <v>322</v>
      </c>
      <c r="E201" s="34">
        <v>45107</v>
      </c>
      <c r="F201" s="35">
        <f>215.714285*G201</f>
        <v>1078.5714249999999</v>
      </c>
      <c r="G201" s="36">
        <v>5</v>
      </c>
      <c r="H201" s="37">
        <f t="shared" si="35"/>
        <v>215.71428499999996</v>
      </c>
      <c r="I201" s="35">
        <v>-64.450419999999994</v>
      </c>
      <c r="J201" s="35">
        <v>4593.7932769999998</v>
      </c>
      <c r="K201" s="35">
        <v>115.43539199999999</v>
      </c>
      <c r="L201" s="35">
        <v>20.458023000000001</v>
      </c>
      <c r="M201" s="35">
        <v>-724.89327300000002</v>
      </c>
      <c r="N201" s="37">
        <f t="shared" si="36"/>
        <v>1.4429420000000164</v>
      </c>
      <c r="O201" s="35">
        <v>-726.33621500000004</v>
      </c>
      <c r="P201" s="38">
        <v>0</v>
      </c>
      <c r="Q201" s="38">
        <v>0</v>
      </c>
      <c r="R201" s="39">
        <f t="shared" si="37"/>
        <v>0</v>
      </c>
      <c r="S201" s="38"/>
      <c r="T201" s="40">
        <v>3751</v>
      </c>
    </row>
    <row r="202" spans="2:20" ht="15.6" x14ac:dyDescent="0.3">
      <c r="B202" s="59">
        <f t="shared" si="38"/>
        <v>21</v>
      </c>
      <c r="C202" s="59" t="s">
        <v>323</v>
      </c>
      <c r="D202" s="33" t="s">
        <v>324</v>
      </c>
      <c r="E202" s="34">
        <v>45107</v>
      </c>
      <c r="F202" s="35">
        <f>18.432*G202</f>
        <v>184.32</v>
      </c>
      <c r="G202" s="36">
        <v>10</v>
      </c>
      <c r="H202" s="37">
        <f t="shared" si="35"/>
        <v>18.431999999999999</v>
      </c>
      <c r="I202" s="35">
        <v>2628.8773259999998</v>
      </c>
      <c r="J202" s="35">
        <v>8501.6675869999999</v>
      </c>
      <c r="K202" s="35">
        <v>9837.1369340000001</v>
      </c>
      <c r="L202" s="35">
        <v>632.64819699999998</v>
      </c>
      <c r="M202" s="35">
        <v>-156.75241700000001</v>
      </c>
      <c r="N202" s="37">
        <f t="shared" si="36"/>
        <v>92.780761999999982</v>
      </c>
      <c r="O202" s="35">
        <v>-249.53317899999999</v>
      </c>
      <c r="P202" s="38">
        <v>0</v>
      </c>
      <c r="Q202" s="38">
        <v>0</v>
      </c>
      <c r="R202" s="39">
        <f t="shared" si="37"/>
        <v>0</v>
      </c>
      <c r="S202" s="38"/>
      <c r="T202" s="40">
        <v>572</v>
      </c>
    </row>
    <row r="203" spans="2:20" ht="15.6" x14ac:dyDescent="0.3">
      <c r="B203" s="59">
        <f t="shared" si="38"/>
        <v>22</v>
      </c>
      <c r="C203" s="59" t="s">
        <v>325</v>
      </c>
      <c r="D203" s="33" t="s">
        <v>326</v>
      </c>
      <c r="E203" s="34">
        <v>45107</v>
      </c>
      <c r="F203" s="35">
        <f>18.7*G203</f>
        <v>187</v>
      </c>
      <c r="G203" s="36">
        <v>10</v>
      </c>
      <c r="H203" s="37">
        <f t="shared" si="35"/>
        <v>18.7</v>
      </c>
      <c r="I203" s="35">
        <v>4667.0393510000004</v>
      </c>
      <c r="J203" s="35">
        <v>12588.753073</v>
      </c>
      <c r="K203" s="35">
        <v>12818.757718000001</v>
      </c>
      <c r="L203" s="35">
        <v>259.36352199999999</v>
      </c>
      <c r="M203" s="35">
        <v>803.51810599999999</v>
      </c>
      <c r="N203" s="37">
        <f t="shared" si="36"/>
        <v>213.57108500000004</v>
      </c>
      <c r="O203" s="35">
        <v>589.94702099999995</v>
      </c>
      <c r="P203" s="38">
        <v>60</v>
      </c>
      <c r="Q203" s="38">
        <v>0</v>
      </c>
      <c r="R203" s="39">
        <f t="shared" si="37"/>
        <v>60</v>
      </c>
      <c r="S203" s="38"/>
      <c r="T203" s="40">
        <v>926</v>
      </c>
    </row>
    <row r="204" spans="2:20" ht="15.6" x14ac:dyDescent="0.3">
      <c r="B204" s="59">
        <f t="shared" si="38"/>
        <v>23</v>
      </c>
      <c r="C204" s="59" t="s">
        <v>327</v>
      </c>
      <c r="D204" s="33" t="s">
        <v>328</v>
      </c>
      <c r="E204" s="34">
        <v>45107</v>
      </c>
      <c r="F204" s="35">
        <f>21.266735*G204</f>
        <v>212.66735</v>
      </c>
      <c r="G204" s="36">
        <v>10</v>
      </c>
      <c r="H204" s="37">
        <f t="shared" si="35"/>
        <v>21.266735000000001</v>
      </c>
      <c r="I204" s="35">
        <v>3868.118633</v>
      </c>
      <c r="J204" s="35">
        <v>8278.1008519999996</v>
      </c>
      <c r="K204" s="35">
        <v>10666.652889000001</v>
      </c>
      <c r="L204" s="35">
        <v>663.46275500000002</v>
      </c>
      <c r="M204" s="35">
        <v>-584.066959</v>
      </c>
      <c r="N204" s="37">
        <f t="shared" si="36"/>
        <v>4.9104869999999892</v>
      </c>
      <c r="O204" s="35">
        <v>-588.97744599999999</v>
      </c>
      <c r="P204" s="38">
        <v>0</v>
      </c>
      <c r="Q204" s="38">
        <v>0</v>
      </c>
      <c r="R204" s="39">
        <f t="shared" si="37"/>
        <v>0</v>
      </c>
      <c r="S204" s="38"/>
      <c r="T204" s="40">
        <v>41</v>
      </c>
    </row>
    <row r="205" spans="2:20" ht="15.6" x14ac:dyDescent="0.3">
      <c r="B205" s="59">
        <f t="shared" si="38"/>
        <v>24</v>
      </c>
      <c r="C205" s="59" t="s">
        <v>329</v>
      </c>
      <c r="D205" s="45" t="s">
        <v>330</v>
      </c>
      <c r="E205" s="34">
        <v>45107</v>
      </c>
      <c r="F205" s="35">
        <f>12*G205</f>
        <v>120</v>
      </c>
      <c r="G205" s="36">
        <v>10</v>
      </c>
      <c r="H205" s="37">
        <f t="shared" si="35"/>
        <v>12</v>
      </c>
      <c r="I205" s="35">
        <v>170.32877300000001</v>
      </c>
      <c r="J205" s="35">
        <v>720.51011900000003</v>
      </c>
      <c r="K205" s="35">
        <v>104.625584</v>
      </c>
      <c r="L205" s="35">
        <v>6.8656680000000003</v>
      </c>
      <c r="M205" s="35">
        <v>32.962040000000002</v>
      </c>
      <c r="N205" s="37">
        <f t="shared" si="36"/>
        <v>15.357539000000003</v>
      </c>
      <c r="O205" s="35">
        <v>17.604500999999999</v>
      </c>
      <c r="P205" s="38">
        <v>0</v>
      </c>
      <c r="Q205" s="38">
        <v>0</v>
      </c>
      <c r="R205" s="39">
        <f t="shared" si="37"/>
        <v>0</v>
      </c>
      <c r="S205" s="38"/>
      <c r="T205" s="40">
        <v>377</v>
      </c>
    </row>
    <row r="206" spans="2:20" ht="15.6" x14ac:dyDescent="0.3">
      <c r="B206" s="59">
        <f t="shared" si="38"/>
        <v>25</v>
      </c>
      <c r="C206" s="59" t="s">
        <v>331</v>
      </c>
      <c r="D206" s="33" t="s">
        <v>332</v>
      </c>
      <c r="E206" s="34">
        <v>45107</v>
      </c>
      <c r="F206" s="35">
        <f>6.163*G206</f>
        <v>61.63</v>
      </c>
      <c r="G206" s="36">
        <v>10</v>
      </c>
      <c r="H206" s="37">
        <f t="shared" si="35"/>
        <v>6.1630000000000003</v>
      </c>
      <c r="I206" s="35">
        <v>9152.6677</v>
      </c>
      <c r="J206" s="35">
        <v>28019.228512999998</v>
      </c>
      <c r="K206" s="35">
        <v>22828.702999000001</v>
      </c>
      <c r="L206" s="35">
        <v>2238.2141390000002</v>
      </c>
      <c r="M206" s="35">
        <v>1394.3333050000001</v>
      </c>
      <c r="N206" s="37">
        <f t="shared" si="36"/>
        <v>351.69030500000008</v>
      </c>
      <c r="O206" s="35">
        <v>1042.643</v>
      </c>
      <c r="P206" s="38">
        <v>250</v>
      </c>
      <c r="Q206" s="38">
        <v>0</v>
      </c>
      <c r="R206" s="39">
        <f t="shared" si="37"/>
        <v>250</v>
      </c>
      <c r="S206" s="38"/>
      <c r="T206" s="40">
        <v>761</v>
      </c>
    </row>
    <row r="207" spans="2:20" ht="15.6" x14ac:dyDescent="0.3">
      <c r="B207" s="59">
        <f t="shared" si="38"/>
        <v>26</v>
      </c>
      <c r="C207" s="59" t="s">
        <v>333</v>
      </c>
      <c r="D207" s="33" t="s">
        <v>334</v>
      </c>
      <c r="E207" s="34">
        <v>45107</v>
      </c>
      <c r="F207" s="35">
        <f>10.292*G207</f>
        <v>102.92</v>
      </c>
      <c r="G207" s="36">
        <v>10</v>
      </c>
      <c r="H207" s="37">
        <f t="shared" si="35"/>
        <v>10.292</v>
      </c>
      <c r="I207" s="35">
        <v>7033.7319269999998</v>
      </c>
      <c r="J207" s="35">
        <v>13383.671773</v>
      </c>
      <c r="K207" s="35">
        <v>11048.839608</v>
      </c>
      <c r="L207" s="35">
        <v>350.94239599999997</v>
      </c>
      <c r="M207" s="35">
        <v>1004.647116</v>
      </c>
      <c r="N207" s="37">
        <f t="shared" si="36"/>
        <v>165.53719899999999</v>
      </c>
      <c r="O207" s="35">
        <v>839.109917</v>
      </c>
      <c r="P207" s="38">
        <v>40</v>
      </c>
      <c r="Q207" s="38">
        <v>0</v>
      </c>
      <c r="R207" s="39">
        <f t="shared" si="37"/>
        <v>40</v>
      </c>
      <c r="S207" s="38"/>
      <c r="T207" s="40">
        <v>469</v>
      </c>
    </row>
    <row r="208" spans="2:20" ht="15.6" x14ac:dyDescent="0.3">
      <c r="B208" s="59">
        <f t="shared" si="38"/>
        <v>27</v>
      </c>
      <c r="C208" s="59" t="s">
        <v>335</v>
      </c>
      <c r="D208" s="33" t="s">
        <v>336</v>
      </c>
      <c r="E208" s="34">
        <v>45107</v>
      </c>
      <c r="F208" s="35">
        <f>26.4129*G208</f>
        <v>264.12900000000002</v>
      </c>
      <c r="G208" s="36">
        <v>10</v>
      </c>
      <c r="H208" s="37">
        <f t="shared" si="35"/>
        <v>26.4129</v>
      </c>
      <c r="I208" s="35">
        <v>4145.1850000000004</v>
      </c>
      <c r="J208" s="35">
        <v>13460.811</v>
      </c>
      <c r="K208" s="35">
        <v>11692.412</v>
      </c>
      <c r="L208" s="35">
        <v>1497.2339999999999</v>
      </c>
      <c r="M208" s="35">
        <v>-1577.394</v>
      </c>
      <c r="N208" s="37">
        <f t="shared" si="36"/>
        <v>-443.5329999999999</v>
      </c>
      <c r="O208" s="35">
        <v>-1133.8610000000001</v>
      </c>
      <c r="P208" s="38">
        <v>0</v>
      </c>
      <c r="Q208" s="38">
        <v>0</v>
      </c>
      <c r="R208" s="39">
        <f t="shared" si="37"/>
        <v>0</v>
      </c>
      <c r="S208" s="38"/>
      <c r="T208" s="40">
        <v>1387</v>
      </c>
    </row>
    <row r="209" spans="2:20" ht="15.6" x14ac:dyDescent="0.3">
      <c r="B209" s="59">
        <f t="shared" si="38"/>
        <v>28</v>
      </c>
      <c r="C209" s="59" t="s">
        <v>337</v>
      </c>
      <c r="D209" s="33" t="s">
        <v>338</v>
      </c>
      <c r="E209" s="34">
        <v>45107</v>
      </c>
      <c r="F209" s="35">
        <f>13.787567*G209</f>
        <v>137.87566999999999</v>
      </c>
      <c r="G209" s="36">
        <v>10</v>
      </c>
      <c r="H209" s="37">
        <f t="shared" si="35"/>
        <v>13.787566999999999</v>
      </c>
      <c r="I209" s="35">
        <v>1010.12544</v>
      </c>
      <c r="J209" s="35">
        <v>1451.67363</v>
      </c>
      <c r="K209" s="35">
        <v>1051.6029739999999</v>
      </c>
      <c r="L209" s="35">
        <v>12.371385999999999</v>
      </c>
      <c r="M209" s="35">
        <v>-157.370746</v>
      </c>
      <c r="N209" s="37">
        <f t="shared" si="36"/>
        <v>0.54768599999999878</v>
      </c>
      <c r="O209" s="35">
        <v>-157.918432</v>
      </c>
      <c r="P209" s="38">
        <v>0</v>
      </c>
      <c r="Q209" s="38">
        <v>0</v>
      </c>
      <c r="R209" s="39">
        <f t="shared" si="37"/>
        <v>0</v>
      </c>
      <c r="S209" s="38"/>
      <c r="T209" s="40">
        <v>1323</v>
      </c>
    </row>
    <row r="210" spans="2:20" ht="15.6" x14ac:dyDescent="0.3">
      <c r="B210" s="59">
        <f t="shared" si="38"/>
        <v>29</v>
      </c>
      <c r="C210" s="59" t="s">
        <v>339</v>
      </c>
      <c r="D210" s="33" t="s">
        <v>340</v>
      </c>
      <c r="E210" s="34">
        <v>45107</v>
      </c>
      <c r="F210" s="35">
        <f>17.6368*G210</f>
        <v>176.36799999999999</v>
      </c>
      <c r="G210" s="36">
        <v>10</v>
      </c>
      <c r="H210" s="37">
        <f t="shared" si="35"/>
        <v>17.636800000000001</v>
      </c>
      <c r="I210" s="35">
        <v>922.66368999999997</v>
      </c>
      <c r="J210" s="35">
        <v>1669.3457659999999</v>
      </c>
      <c r="K210" s="35">
        <v>349.12969199999998</v>
      </c>
      <c r="L210" s="35">
        <v>0.48452400000000001</v>
      </c>
      <c r="M210" s="35">
        <v>67.899835999999993</v>
      </c>
      <c r="N210" s="37">
        <f t="shared" si="36"/>
        <v>-25.812535000000011</v>
      </c>
      <c r="O210" s="35">
        <v>93.712371000000005</v>
      </c>
      <c r="P210" s="38">
        <v>0</v>
      </c>
      <c r="Q210" s="38">
        <v>0</v>
      </c>
      <c r="R210" s="39">
        <f t="shared" si="37"/>
        <v>0</v>
      </c>
      <c r="S210" s="38"/>
      <c r="T210" s="40">
        <v>1112</v>
      </c>
    </row>
    <row r="211" spans="2:20" ht="15.6" x14ac:dyDescent="0.3">
      <c r="B211" s="59">
        <f t="shared" si="38"/>
        <v>30</v>
      </c>
      <c r="C211" s="59" t="s">
        <v>341</v>
      </c>
      <c r="D211" s="33" t="s">
        <v>342</v>
      </c>
      <c r="E211" s="34">
        <v>45107</v>
      </c>
      <c r="F211" s="35">
        <f>16.6*G211</f>
        <v>166</v>
      </c>
      <c r="G211" s="36">
        <v>10</v>
      </c>
      <c r="H211" s="37">
        <f t="shared" si="35"/>
        <v>16.600000000000001</v>
      </c>
      <c r="I211" s="35">
        <v>1452.6610000000001</v>
      </c>
      <c r="J211" s="35">
        <v>2849.3110000000001</v>
      </c>
      <c r="K211" s="35">
        <v>5962.7820000000002</v>
      </c>
      <c r="L211" s="35">
        <v>137.04599999999999</v>
      </c>
      <c r="M211" s="35">
        <v>-92.572999999999993</v>
      </c>
      <c r="N211" s="37">
        <f t="shared" si="36"/>
        <v>15.169000000000011</v>
      </c>
      <c r="O211" s="35">
        <v>-107.742</v>
      </c>
      <c r="P211" s="38">
        <v>0</v>
      </c>
      <c r="Q211" s="38">
        <v>0</v>
      </c>
      <c r="R211" s="39">
        <f t="shared" si="37"/>
        <v>0</v>
      </c>
      <c r="S211" s="38"/>
      <c r="T211" s="40">
        <v>485</v>
      </c>
    </row>
    <row r="212" spans="2:20" ht="15.6" x14ac:dyDescent="0.3">
      <c r="B212" s="59">
        <f t="shared" si="38"/>
        <v>31</v>
      </c>
      <c r="C212" s="59" t="s">
        <v>343</v>
      </c>
      <c r="D212" s="33" t="s">
        <v>344</v>
      </c>
      <c r="E212" s="34">
        <v>45107</v>
      </c>
      <c r="F212" s="35">
        <f>19.965*G212</f>
        <v>199.65</v>
      </c>
      <c r="G212" s="36">
        <v>10</v>
      </c>
      <c r="H212" s="37">
        <f t="shared" si="35"/>
        <v>19.965</v>
      </c>
      <c r="I212" s="35">
        <v>445.34406100000001</v>
      </c>
      <c r="J212" s="35">
        <v>2283.590326</v>
      </c>
      <c r="K212" s="35">
        <v>2885.6005970000001</v>
      </c>
      <c r="L212" s="35">
        <v>200.47834599999999</v>
      </c>
      <c r="M212" s="35">
        <v>-224.21663899999999</v>
      </c>
      <c r="N212" s="37">
        <f t="shared" si="36"/>
        <v>-90.247949999999975</v>
      </c>
      <c r="O212" s="35">
        <v>-133.96868900000001</v>
      </c>
      <c r="P212" s="38">
        <v>0</v>
      </c>
      <c r="Q212" s="38">
        <f>65</f>
        <v>65</v>
      </c>
      <c r="R212" s="39">
        <f t="shared" si="37"/>
        <v>65</v>
      </c>
      <c r="S212" s="38"/>
      <c r="T212" s="40">
        <v>578</v>
      </c>
    </row>
    <row r="213" spans="2:20" ht="15.6" x14ac:dyDescent="0.3">
      <c r="B213" s="59">
        <f t="shared" si="38"/>
        <v>32</v>
      </c>
      <c r="C213" s="59" t="s">
        <v>345</v>
      </c>
      <c r="D213" s="33" t="s">
        <v>346</v>
      </c>
      <c r="E213" s="34">
        <v>45107</v>
      </c>
      <c r="F213" s="35">
        <f>29.840607*G213</f>
        <v>298.40607</v>
      </c>
      <c r="G213" s="36">
        <v>10</v>
      </c>
      <c r="H213" s="37">
        <f t="shared" si="35"/>
        <v>29.840606999999999</v>
      </c>
      <c r="I213" s="35">
        <v>475.09326099999998</v>
      </c>
      <c r="J213" s="35">
        <v>1978.6633159999999</v>
      </c>
      <c r="K213" s="35">
        <v>3600.1238560000002</v>
      </c>
      <c r="L213" s="35">
        <v>140.946879</v>
      </c>
      <c r="M213" s="35">
        <v>-400.368852</v>
      </c>
      <c r="N213" s="37">
        <f t="shared" si="36"/>
        <v>30.857741999999973</v>
      </c>
      <c r="O213" s="35">
        <v>-431.22659399999998</v>
      </c>
      <c r="P213" s="38">
        <v>0</v>
      </c>
      <c r="Q213" s="38">
        <v>0</v>
      </c>
      <c r="R213" s="39">
        <f t="shared" si="37"/>
        <v>0</v>
      </c>
      <c r="S213" s="38"/>
      <c r="T213" s="40">
        <v>1039</v>
      </c>
    </row>
    <row r="214" spans="2:20" ht="15.6" x14ac:dyDescent="0.3">
      <c r="B214" s="59">
        <f t="shared" si="38"/>
        <v>33</v>
      </c>
      <c r="C214" s="59" t="s">
        <v>347</v>
      </c>
      <c r="D214" s="33" t="s">
        <v>348</v>
      </c>
      <c r="E214" s="34">
        <v>45107</v>
      </c>
      <c r="F214" s="35">
        <v>207</v>
      </c>
      <c r="G214" s="36">
        <v>10</v>
      </c>
      <c r="H214" s="37">
        <f t="shared" si="35"/>
        <v>20.7</v>
      </c>
      <c r="I214" s="35">
        <v>8349.2520980000008</v>
      </c>
      <c r="J214" s="35">
        <v>12401.417234</v>
      </c>
      <c r="K214" s="35">
        <v>9654.3660110000001</v>
      </c>
      <c r="L214" s="35">
        <v>124.12932499999999</v>
      </c>
      <c r="M214" s="35">
        <v>415.89099599999997</v>
      </c>
      <c r="N214" s="37">
        <f t="shared" si="36"/>
        <v>128.07400099999995</v>
      </c>
      <c r="O214" s="35">
        <v>287.81699500000002</v>
      </c>
      <c r="P214" s="38">
        <f>20</f>
        <v>20</v>
      </c>
      <c r="Q214" s="38">
        <v>0</v>
      </c>
      <c r="R214" s="39">
        <f t="shared" si="37"/>
        <v>20</v>
      </c>
      <c r="S214" s="38"/>
      <c r="T214" s="40">
        <v>1832</v>
      </c>
    </row>
    <row r="215" spans="2:20" ht="15.6" x14ac:dyDescent="0.3">
      <c r="B215" s="59">
        <f t="shared" si="38"/>
        <v>34</v>
      </c>
      <c r="C215" s="59" t="s">
        <v>349</v>
      </c>
      <c r="D215" s="33" t="s">
        <v>350</v>
      </c>
      <c r="E215" s="34">
        <v>45107</v>
      </c>
      <c r="F215" s="35">
        <f>17.971372*G215</f>
        <v>179.71372</v>
      </c>
      <c r="G215" s="36">
        <v>10</v>
      </c>
      <c r="H215" s="37">
        <f t="shared" si="35"/>
        <v>17.971371999999999</v>
      </c>
      <c r="I215" s="35">
        <v>3011.0474479999998</v>
      </c>
      <c r="J215" s="35">
        <v>5144.9534860000003</v>
      </c>
      <c r="K215" s="35">
        <v>8398.6301579999999</v>
      </c>
      <c r="L215" s="35">
        <v>135.900125</v>
      </c>
      <c r="M215" s="35">
        <v>-187.875168</v>
      </c>
      <c r="N215" s="37">
        <f t="shared" si="36"/>
        <v>81.364764000000008</v>
      </c>
      <c r="O215" s="35">
        <v>-269.23993200000001</v>
      </c>
      <c r="P215" s="38">
        <v>0</v>
      </c>
      <c r="Q215" s="38">
        <v>0</v>
      </c>
      <c r="R215" s="39">
        <f t="shared" si="37"/>
        <v>0</v>
      </c>
      <c r="S215" s="38"/>
      <c r="T215" s="40">
        <v>796</v>
      </c>
    </row>
    <row r="216" spans="2:20" ht="15.6" x14ac:dyDescent="0.3">
      <c r="B216" s="59">
        <f t="shared" si="38"/>
        <v>35</v>
      </c>
      <c r="C216" s="59" t="s">
        <v>351</v>
      </c>
      <c r="D216" s="33" t="s">
        <v>352</v>
      </c>
      <c r="E216" s="34">
        <v>45107</v>
      </c>
      <c r="F216" s="35">
        <v>559.93614000000002</v>
      </c>
      <c r="G216" s="36">
        <v>10</v>
      </c>
      <c r="H216" s="37">
        <f t="shared" si="35"/>
        <v>55.993614000000001</v>
      </c>
      <c r="I216" s="35">
        <v>21379.214</v>
      </c>
      <c r="J216" s="35">
        <v>46201.783000000003</v>
      </c>
      <c r="K216" s="35">
        <v>34910.637999999999</v>
      </c>
      <c r="L216" s="35">
        <v>2704.6619999999998</v>
      </c>
      <c r="M216" s="35">
        <v>708.57100000000003</v>
      </c>
      <c r="N216" s="37">
        <f t="shared" si="36"/>
        <v>448.04600000000005</v>
      </c>
      <c r="O216" s="35">
        <v>260.52499999999998</v>
      </c>
      <c r="P216" s="38">
        <f>20+30</f>
        <v>50</v>
      </c>
      <c r="Q216" s="38">
        <v>0</v>
      </c>
      <c r="R216" s="39">
        <f t="shared" si="37"/>
        <v>50</v>
      </c>
      <c r="S216" s="38"/>
      <c r="T216" s="40">
        <v>3632</v>
      </c>
    </row>
    <row r="217" spans="2:20" ht="15.6" x14ac:dyDescent="0.3">
      <c r="B217" s="61"/>
      <c r="C217" s="61"/>
      <c r="D217" s="63"/>
      <c r="E217" s="64"/>
      <c r="F217" s="65"/>
      <c r="G217" s="42"/>
      <c r="H217" s="66"/>
      <c r="I217" s="65"/>
      <c r="J217" s="65"/>
      <c r="K217" s="65"/>
      <c r="L217" s="65"/>
      <c r="M217" s="65"/>
      <c r="N217" s="66"/>
      <c r="O217" s="65"/>
      <c r="P217" s="67"/>
      <c r="Q217" s="67"/>
      <c r="R217" s="68"/>
      <c r="S217" s="67"/>
      <c r="T217" s="69"/>
    </row>
    <row r="218" spans="2:20" ht="18" x14ac:dyDescent="0.35">
      <c r="B218" s="27"/>
      <c r="C218" s="27"/>
      <c r="D218" s="55" t="s">
        <v>43</v>
      </c>
      <c r="E218" s="27"/>
      <c r="F218" s="27"/>
      <c r="G218" s="42"/>
      <c r="H218" s="43"/>
      <c r="I218" s="29"/>
      <c r="J218" s="29"/>
      <c r="K218" s="29"/>
      <c r="L218" s="29"/>
      <c r="M218" s="29"/>
      <c r="N218" s="44"/>
      <c r="O218" s="29"/>
      <c r="P218" s="29"/>
      <c r="Q218" s="29"/>
      <c r="R218" s="44"/>
      <c r="S218" s="29"/>
      <c r="T218" s="29"/>
    </row>
    <row r="219" spans="2:20" ht="15.6" x14ac:dyDescent="0.3">
      <c r="B219" s="59">
        <v>1</v>
      </c>
      <c r="C219" s="59" t="s">
        <v>353</v>
      </c>
      <c r="D219" s="33" t="s">
        <v>354</v>
      </c>
      <c r="E219" s="34">
        <v>45107</v>
      </c>
      <c r="F219" s="35"/>
      <c r="G219" s="36">
        <v>10</v>
      </c>
      <c r="H219" s="37">
        <f t="shared" ref="H219:H245" si="39">+F219/G219</f>
        <v>0</v>
      </c>
      <c r="I219" s="35"/>
      <c r="J219" s="35"/>
      <c r="K219" s="35"/>
      <c r="L219" s="35"/>
      <c r="M219" s="35"/>
      <c r="N219" s="37">
        <f t="shared" ref="N219:N245" si="40">+M219-O219</f>
        <v>0</v>
      </c>
      <c r="O219" s="35"/>
      <c r="P219" s="38"/>
      <c r="Q219" s="38"/>
      <c r="R219" s="39">
        <f t="shared" ref="R219:R245" si="41">SUM(P219:Q219)</f>
        <v>0</v>
      </c>
      <c r="S219" s="38"/>
      <c r="T219" s="40"/>
    </row>
    <row r="220" spans="2:20" ht="15.6" x14ac:dyDescent="0.3">
      <c r="B220" s="59">
        <f>+B219+1</f>
        <v>2</v>
      </c>
      <c r="C220" s="59" t="s">
        <v>355</v>
      </c>
      <c r="D220" s="33" t="s">
        <v>356</v>
      </c>
      <c r="E220" s="34">
        <v>45107</v>
      </c>
      <c r="F220" s="35">
        <f>44.426694*G220</f>
        <v>222.13346999999999</v>
      </c>
      <c r="G220" s="36">
        <v>5</v>
      </c>
      <c r="H220" s="37">
        <f t="shared" si="39"/>
        <v>44.426693999999998</v>
      </c>
      <c r="I220" s="35">
        <v>1554.5794599999999</v>
      </c>
      <c r="J220" s="35">
        <v>1654.1933899999999</v>
      </c>
      <c r="K220" s="35">
        <v>63.796495</v>
      </c>
      <c r="L220" s="35">
        <v>0.211036</v>
      </c>
      <c r="M220" s="35">
        <v>10.688732</v>
      </c>
      <c r="N220" s="37">
        <f t="shared" si="40"/>
        <v>-3.5467499999999994</v>
      </c>
      <c r="O220" s="35">
        <v>14.235481999999999</v>
      </c>
      <c r="P220" s="38">
        <v>0</v>
      </c>
      <c r="Q220" s="38">
        <v>0</v>
      </c>
      <c r="R220" s="39">
        <f t="shared" si="41"/>
        <v>0</v>
      </c>
      <c r="S220" s="38"/>
      <c r="T220" s="40">
        <v>1094</v>
      </c>
    </row>
    <row r="221" spans="2:20" ht="15.6" x14ac:dyDescent="0.3">
      <c r="B221" s="59">
        <f t="shared" ref="B221:B245" si="42">+B220+1</f>
        <v>3</v>
      </c>
      <c r="C221" s="59" t="s">
        <v>357</v>
      </c>
      <c r="D221" s="33" t="s">
        <v>358</v>
      </c>
      <c r="E221" s="34">
        <v>45107</v>
      </c>
      <c r="F221" s="35">
        <f>259.430134*G221</f>
        <v>2594.30134</v>
      </c>
      <c r="G221" s="36">
        <v>10</v>
      </c>
      <c r="H221" s="37">
        <f t="shared" si="39"/>
        <v>259.43013400000001</v>
      </c>
      <c r="I221" s="35">
        <v>-8633.5265199999994</v>
      </c>
      <c r="J221" s="35">
        <v>3310.0203059999999</v>
      </c>
      <c r="K221" s="35">
        <v>1691.5335150000001</v>
      </c>
      <c r="L221" s="35">
        <v>76.999678000000003</v>
      </c>
      <c r="M221" s="35">
        <v>158.477553</v>
      </c>
      <c r="N221" s="37">
        <f t="shared" si="40"/>
        <v>20.566720000000004</v>
      </c>
      <c r="O221" s="35">
        <v>137.910833</v>
      </c>
      <c r="P221" s="38">
        <v>0</v>
      </c>
      <c r="Q221" s="38">
        <v>0</v>
      </c>
      <c r="R221" s="39">
        <f t="shared" si="41"/>
        <v>0</v>
      </c>
      <c r="S221" s="38"/>
      <c r="T221" s="40">
        <v>2517</v>
      </c>
    </row>
    <row r="222" spans="2:20" ht="15.6" x14ac:dyDescent="0.3">
      <c r="B222" s="59">
        <f t="shared" si="42"/>
        <v>4</v>
      </c>
      <c r="C222" s="59" t="s">
        <v>359</v>
      </c>
      <c r="D222" s="33" t="s">
        <v>360</v>
      </c>
      <c r="E222" s="34">
        <v>45107</v>
      </c>
      <c r="F222" s="35"/>
      <c r="G222" s="36">
        <v>5</v>
      </c>
      <c r="H222" s="37">
        <f t="shared" si="39"/>
        <v>0</v>
      </c>
      <c r="I222" s="35"/>
      <c r="J222" s="35"/>
      <c r="K222" s="35"/>
      <c r="L222" s="35"/>
      <c r="M222" s="35"/>
      <c r="N222" s="37">
        <f t="shared" si="40"/>
        <v>0</v>
      </c>
      <c r="O222" s="35"/>
      <c r="P222" s="38"/>
      <c r="Q222" s="38"/>
      <c r="R222" s="39">
        <f t="shared" si="41"/>
        <v>0</v>
      </c>
      <c r="S222" s="38"/>
      <c r="T222" s="40"/>
    </row>
    <row r="223" spans="2:20" ht="15.6" x14ac:dyDescent="0.3">
      <c r="B223" s="59">
        <f t="shared" si="42"/>
        <v>5</v>
      </c>
      <c r="C223" s="59" t="s">
        <v>361</v>
      </c>
      <c r="D223" s="33" t="s">
        <v>362</v>
      </c>
      <c r="E223" s="34">
        <v>45107</v>
      </c>
      <c r="F223" s="35"/>
      <c r="G223" s="36">
        <v>10</v>
      </c>
      <c r="H223" s="37">
        <f t="shared" si="39"/>
        <v>0</v>
      </c>
      <c r="I223" s="35"/>
      <c r="J223" s="35"/>
      <c r="K223" s="35"/>
      <c r="L223" s="35"/>
      <c r="M223" s="35"/>
      <c r="N223" s="37">
        <f t="shared" si="40"/>
        <v>0</v>
      </c>
      <c r="O223" s="35"/>
      <c r="P223" s="38"/>
      <c r="Q223" s="38"/>
      <c r="R223" s="39">
        <f t="shared" si="41"/>
        <v>0</v>
      </c>
      <c r="S223" s="38"/>
      <c r="T223" s="40"/>
    </row>
    <row r="224" spans="2:20" ht="15.6" x14ac:dyDescent="0.3">
      <c r="B224" s="59">
        <f t="shared" si="42"/>
        <v>6</v>
      </c>
      <c r="C224" s="59" t="s">
        <v>363</v>
      </c>
      <c r="D224" s="33" t="s">
        <v>364</v>
      </c>
      <c r="E224" s="34">
        <v>45199</v>
      </c>
      <c r="F224" s="35"/>
      <c r="G224" s="36">
        <v>10</v>
      </c>
      <c r="H224" s="37">
        <f t="shared" si="39"/>
        <v>0</v>
      </c>
      <c r="I224" s="35"/>
      <c r="J224" s="35"/>
      <c r="K224" s="35"/>
      <c r="L224" s="35"/>
      <c r="M224" s="35"/>
      <c r="N224" s="37">
        <f t="shared" si="40"/>
        <v>0</v>
      </c>
      <c r="O224" s="35"/>
      <c r="P224" s="38"/>
      <c r="Q224" s="38"/>
      <c r="R224" s="39">
        <f t="shared" si="41"/>
        <v>0</v>
      </c>
      <c r="S224" s="38"/>
      <c r="T224" s="40"/>
    </row>
    <row r="225" spans="2:20" ht="15.6" x14ac:dyDescent="0.3">
      <c r="B225" s="59">
        <f t="shared" si="42"/>
        <v>7</v>
      </c>
      <c r="C225" s="59" t="s">
        <v>365</v>
      </c>
      <c r="D225" s="33" t="s">
        <v>366</v>
      </c>
      <c r="E225" s="34">
        <v>45107</v>
      </c>
      <c r="F225" s="35">
        <f>14.1*G225</f>
        <v>141</v>
      </c>
      <c r="G225" s="36">
        <v>10</v>
      </c>
      <c r="H225" s="37">
        <f t="shared" si="39"/>
        <v>14.1</v>
      </c>
      <c r="I225" s="35"/>
      <c r="J225" s="35"/>
      <c r="K225" s="35"/>
      <c r="L225" s="35"/>
      <c r="M225" s="35">
        <v>-23.466000000000001</v>
      </c>
      <c r="N225" s="37">
        <f t="shared" si="40"/>
        <v>0</v>
      </c>
      <c r="O225" s="35">
        <v>-23.466000000000001</v>
      </c>
      <c r="P225" s="38">
        <v>0</v>
      </c>
      <c r="Q225" s="38">
        <v>0</v>
      </c>
      <c r="R225" s="39">
        <f t="shared" si="41"/>
        <v>0</v>
      </c>
      <c r="S225" s="38"/>
      <c r="T225" s="40"/>
    </row>
    <row r="226" spans="2:20" ht="15.6" x14ac:dyDescent="0.3">
      <c r="B226" s="59">
        <f t="shared" si="42"/>
        <v>8</v>
      </c>
      <c r="C226" s="59" t="s">
        <v>367</v>
      </c>
      <c r="D226" s="45" t="s">
        <v>368</v>
      </c>
      <c r="E226" s="34">
        <v>45107</v>
      </c>
      <c r="F226" s="35">
        <f>121.5762*G226</f>
        <v>607.88099999999997</v>
      </c>
      <c r="G226" s="36">
        <v>5</v>
      </c>
      <c r="H226" s="37">
        <f t="shared" si="39"/>
        <v>121.5762</v>
      </c>
      <c r="I226" s="35">
        <v>-125.32579699999999</v>
      </c>
      <c r="J226" s="35">
        <v>737.05407600000001</v>
      </c>
      <c r="K226" s="35">
        <v>0</v>
      </c>
      <c r="L226" s="35">
        <v>1.1720000000000001E-3</v>
      </c>
      <c r="M226" s="35">
        <v>-30.802932999999999</v>
      </c>
      <c r="N226" s="37">
        <f t="shared" si="40"/>
        <v>0</v>
      </c>
      <c r="O226" s="35">
        <v>-30.802932999999999</v>
      </c>
      <c r="P226" s="38">
        <v>0</v>
      </c>
      <c r="Q226" s="38">
        <v>0</v>
      </c>
      <c r="R226" s="39">
        <f t="shared" si="41"/>
        <v>0</v>
      </c>
      <c r="S226" s="38"/>
      <c r="T226" s="40">
        <v>1314</v>
      </c>
    </row>
    <row r="227" spans="2:20" ht="15.6" x14ac:dyDescent="0.3">
      <c r="B227" s="59">
        <f t="shared" si="42"/>
        <v>9</v>
      </c>
      <c r="C227" s="59" t="s">
        <v>369</v>
      </c>
      <c r="D227" s="33" t="s">
        <v>370</v>
      </c>
      <c r="E227" s="34">
        <v>45107</v>
      </c>
      <c r="F227" s="35"/>
      <c r="G227" s="36">
        <v>10</v>
      </c>
      <c r="H227" s="37">
        <f t="shared" si="39"/>
        <v>0</v>
      </c>
      <c r="I227" s="35"/>
      <c r="J227" s="35"/>
      <c r="K227" s="35"/>
      <c r="L227" s="35"/>
      <c r="M227" s="35"/>
      <c r="N227" s="37">
        <f t="shared" si="40"/>
        <v>0</v>
      </c>
      <c r="O227" s="35"/>
      <c r="P227" s="38"/>
      <c r="Q227" s="38"/>
      <c r="R227" s="39">
        <f t="shared" si="41"/>
        <v>0</v>
      </c>
      <c r="S227" s="38"/>
      <c r="T227" s="40"/>
    </row>
    <row r="228" spans="2:20" ht="15.6" x14ac:dyDescent="0.3">
      <c r="B228" s="59">
        <f t="shared" si="42"/>
        <v>10</v>
      </c>
      <c r="C228" s="59" t="s">
        <v>371</v>
      </c>
      <c r="D228" s="33" t="s">
        <v>372</v>
      </c>
      <c r="E228" s="34">
        <v>45107</v>
      </c>
      <c r="F228" s="35"/>
      <c r="G228" s="36">
        <v>10</v>
      </c>
      <c r="H228" s="37">
        <f t="shared" si="39"/>
        <v>0</v>
      </c>
      <c r="I228" s="35"/>
      <c r="J228" s="35"/>
      <c r="K228" s="35"/>
      <c r="L228" s="35"/>
      <c r="M228" s="35"/>
      <c r="N228" s="37">
        <f t="shared" si="40"/>
        <v>0</v>
      </c>
      <c r="O228" s="35"/>
      <c r="P228" s="38"/>
      <c r="Q228" s="38"/>
      <c r="R228" s="39">
        <f t="shared" si="41"/>
        <v>0</v>
      </c>
      <c r="S228" s="38"/>
      <c r="T228" s="40"/>
    </row>
    <row r="229" spans="2:20" ht="15.6" x14ac:dyDescent="0.3">
      <c r="B229" s="59">
        <f t="shared" si="42"/>
        <v>11</v>
      </c>
      <c r="C229" s="59" t="s">
        <v>373</v>
      </c>
      <c r="D229" s="45" t="s">
        <v>374</v>
      </c>
      <c r="E229" s="34">
        <v>45107</v>
      </c>
      <c r="F229" s="35">
        <v>30.524290000000001</v>
      </c>
      <c r="G229" s="36">
        <v>10</v>
      </c>
      <c r="H229" s="37">
        <f t="shared" si="39"/>
        <v>3.0524290000000001</v>
      </c>
      <c r="I229" s="35">
        <v>648.18718100000001</v>
      </c>
      <c r="J229" s="35">
        <v>783.32136290000005</v>
      </c>
      <c r="K229" s="35">
        <v>0</v>
      </c>
      <c r="L229" s="35">
        <v>0.17496100000000001</v>
      </c>
      <c r="M229" s="35">
        <v>-27.538339000000001</v>
      </c>
      <c r="N229" s="37">
        <f t="shared" si="40"/>
        <v>-13.345229</v>
      </c>
      <c r="O229" s="35">
        <v>-14.193110000000001</v>
      </c>
      <c r="P229" s="38">
        <v>0</v>
      </c>
      <c r="Q229" s="38">
        <v>0</v>
      </c>
      <c r="R229" s="39">
        <f t="shared" si="41"/>
        <v>0</v>
      </c>
      <c r="S229" s="38"/>
      <c r="T229" s="40">
        <v>336</v>
      </c>
    </row>
    <row r="230" spans="2:20" ht="15.6" x14ac:dyDescent="0.3">
      <c r="B230" s="59">
        <f t="shared" si="42"/>
        <v>12</v>
      </c>
      <c r="C230" s="59" t="s">
        <v>375</v>
      </c>
      <c r="D230" s="45" t="s">
        <v>376</v>
      </c>
      <c r="E230" s="34">
        <v>45107</v>
      </c>
      <c r="F230" s="35">
        <v>80</v>
      </c>
      <c r="G230" s="36">
        <v>10</v>
      </c>
      <c r="H230" s="37">
        <f t="shared" si="39"/>
        <v>8</v>
      </c>
      <c r="I230" s="35">
        <v>50.534022999999998</v>
      </c>
      <c r="J230" s="35">
        <f>0.161075+62.287059</f>
        <v>62.448133999999996</v>
      </c>
      <c r="K230" s="35">
        <v>0</v>
      </c>
      <c r="L230" s="35">
        <v>1.835718</v>
      </c>
      <c r="M230" s="35">
        <v>-11.918381999999999</v>
      </c>
      <c r="N230" s="37">
        <f t="shared" si="40"/>
        <v>0</v>
      </c>
      <c r="O230" s="35">
        <v>-11.918381999999999</v>
      </c>
      <c r="P230" s="38">
        <v>0</v>
      </c>
      <c r="Q230" s="38">
        <v>0</v>
      </c>
      <c r="R230" s="39">
        <f t="shared" si="41"/>
        <v>0</v>
      </c>
      <c r="S230" s="38"/>
      <c r="T230" s="40">
        <v>1171</v>
      </c>
    </row>
    <row r="231" spans="2:20" ht="15.6" x14ac:dyDescent="0.3">
      <c r="B231" s="59">
        <f t="shared" si="42"/>
        <v>13</v>
      </c>
      <c r="C231" s="59" t="s">
        <v>377</v>
      </c>
      <c r="D231" s="33" t="s">
        <v>378</v>
      </c>
      <c r="E231" s="34">
        <v>45107</v>
      </c>
      <c r="F231" s="35">
        <f>46.064609*G231</f>
        <v>460.64608999999996</v>
      </c>
      <c r="G231" s="36">
        <v>10</v>
      </c>
      <c r="H231" s="37">
        <f t="shared" si="39"/>
        <v>46.064608999999997</v>
      </c>
      <c r="I231" s="35">
        <v>-2604.0396420000002</v>
      </c>
      <c r="J231" s="35">
        <v>3485.1913789999999</v>
      </c>
      <c r="K231" s="35">
        <v>0</v>
      </c>
      <c r="L231" s="35">
        <v>397.97647899999998</v>
      </c>
      <c r="M231" s="35">
        <v>-573.18753400000003</v>
      </c>
      <c r="N231" s="37">
        <f t="shared" si="40"/>
        <v>-29.71535300000005</v>
      </c>
      <c r="O231" s="35">
        <v>-543.47218099999998</v>
      </c>
      <c r="P231" s="38">
        <v>0</v>
      </c>
      <c r="Q231" s="38">
        <v>0</v>
      </c>
      <c r="R231" s="39">
        <f t="shared" si="41"/>
        <v>0</v>
      </c>
      <c r="S231" s="38"/>
      <c r="T231" s="40">
        <v>326</v>
      </c>
    </row>
    <row r="232" spans="2:20" ht="15.6" x14ac:dyDescent="0.3">
      <c r="B232" s="59">
        <f t="shared" si="42"/>
        <v>14</v>
      </c>
      <c r="C232" s="59" t="s">
        <v>379</v>
      </c>
      <c r="D232" s="33" t="s">
        <v>380</v>
      </c>
      <c r="E232" s="34">
        <v>45107</v>
      </c>
      <c r="F232" s="35"/>
      <c r="G232" s="36">
        <v>10</v>
      </c>
      <c r="H232" s="37">
        <f t="shared" si="39"/>
        <v>0</v>
      </c>
      <c r="I232" s="35"/>
      <c r="J232" s="35"/>
      <c r="K232" s="35"/>
      <c r="L232" s="35"/>
      <c r="M232" s="35"/>
      <c r="N232" s="37">
        <f t="shared" si="40"/>
        <v>0</v>
      </c>
      <c r="O232" s="35"/>
      <c r="P232" s="38"/>
      <c r="Q232" s="38"/>
      <c r="R232" s="39">
        <f t="shared" si="41"/>
        <v>0</v>
      </c>
      <c r="S232" s="38"/>
      <c r="T232" s="40"/>
    </row>
    <row r="233" spans="2:20" ht="15.6" x14ac:dyDescent="0.3">
      <c r="B233" s="59">
        <f t="shared" si="42"/>
        <v>15</v>
      </c>
      <c r="C233" s="59" t="s">
        <v>381</v>
      </c>
      <c r="D233" s="33" t="s">
        <v>382</v>
      </c>
      <c r="E233" s="34">
        <v>45107</v>
      </c>
      <c r="F233" s="35"/>
      <c r="G233" s="36">
        <v>10</v>
      </c>
      <c r="H233" s="37">
        <f t="shared" si="39"/>
        <v>0</v>
      </c>
      <c r="I233" s="35"/>
      <c r="J233" s="35"/>
      <c r="K233" s="35"/>
      <c r="L233" s="35"/>
      <c r="M233" s="35"/>
      <c r="N233" s="37">
        <f t="shared" si="40"/>
        <v>0</v>
      </c>
      <c r="O233" s="35"/>
      <c r="P233" s="38"/>
      <c r="Q233" s="38"/>
      <c r="R233" s="39">
        <f t="shared" si="41"/>
        <v>0</v>
      </c>
      <c r="S233" s="38"/>
      <c r="T233" s="40"/>
    </row>
    <row r="234" spans="2:20" ht="15.6" x14ac:dyDescent="0.3">
      <c r="B234" s="59">
        <f t="shared" si="42"/>
        <v>16</v>
      </c>
      <c r="C234" s="59" t="s">
        <v>383</v>
      </c>
      <c r="D234" s="33" t="s">
        <v>384</v>
      </c>
      <c r="E234" s="34">
        <v>45107</v>
      </c>
      <c r="F234" s="35">
        <f>22.225038*G234</f>
        <v>222.25038000000001</v>
      </c>
      <c r="G234" s="36">
        <v>10</v>
      </c>
      <c r="H234" s="37">
        <f t="shared" si="39"/>
        <v>22.225038000000001</v>
      </c>
      <c r="I234" s="35">
        <v>-2946.885972</v>
      </c>
      <c r="J234" s="35">
        <v>527.578216</v>
      </c>
      <c r="K234" s="35">
        <v>0</v>
      </c>
      <c r="L234" s="35">
        <v>5.777E-3</v>
      </c>
      <c r="M234" s="35">
        <v>-33.607903</v>
      </c>
      <c r="N234" s="37">
        <f t="shared" si="40"/>
        <v>0</v>
      </c>
      <c r="O234" s="35">
        <v>-33.607903</v>
      </c>
      <c r="P234" s="38">
        <v>0</v>
      </c>
      <c r="Q234" s="38">
        <v>0</v>
      </c>
      <c r="R234" s="39">
        <f t="shared" si="41"/>
        <v>0</v>
      </c>
      <c r="S234" s="38"/>
      <c r="T234" s="40">
        <v>3523</v>
      </c>
    </row>
    <row r="235" spans="2:20" ht="15.6" x14ac:dyDescent="0.3">
      <c r="B235" s="59">
        <f t="shared" si="42"/>
        <v>17</v>
      </c>
      <c r="C235" s="59" t="s">
        <v>385</v>
      </c>
      <c r="D235" s="33" t="s">
        <v>386</v>
      </c>
      <c r="E235" s="34">
        <v>45107</v>
      </c>
      <c r="F235" s="35">
        <f>14.641*G235</f>
        <v>146.41</v>
      </c>
      <c r="G235" s="36">
        <v>10</v>
      </c>
      <c r="H235" s="37">
        <f t="shared" si="39"/>
        <v>14.641</v>
      </c>
      <c r="I235" s="35">
        <v>-1494.951943</v>
      </c>
      <c r="J235" s="35">
        <v>724.26987199999996</v>
      </c>
      <c r="K235" s="35">
        <v>0</v>
      </c>
      <c r="L235" s="35">
        <v>1.206E-3</v>
      </c>
      <c r="M235" s="35">
        <v>-30.619033000000002</v>
      </c>
      <c r="N235" s="37">
        <f t="shared" si="40"/>
        <v>0</v>
      </c>
      <c r="O235" s="35">
        <v>-30.619033000000002</v>
      </c>
      <c r="P235" s="38">
        <v>0</v>
      </c>
      <c r="Q235" s="38">
        <v>0</v>
      </c>
      <c r="R235" s="39">
        <f t="shared" si="41"/>
        <v>0</v>
      </c>
      <c r="S235" s="38"/>
      <c r="T235" s="40">
        <v>1755</v>
      </c>
    </row>
    <row r="236" spans="2:20" ht="15.6" x14ac:dyDescent="0.3">
      <c r="B236" s="59">
        <f t="shared" si="42"/>
        <v>18</v>
      </c>
      <c r="C236" s="59" t="s">
        <v>387</v>
      </c>
      <c r="D236" s="33" t="s">
        <v>388</v>
      </c>
      <c r="E236" s="34">
        <v>45107</v>
      </c>
      <c r="F236" s="35">
        <f>18.983872*G236</f>
        <v>189.83872000000002</v>
      </c>
      <c r="G236" s="36">
        <v>10</v>
      </c>
      <c r="H236" s="37">
        <f t="shared" si="39"/>
        <v>18.983872000000002</v>
      </c>
      <c r="I236" s="35">
        <v>-9090.5599330000005</v>
      </c>
      <c r="J236" s="35">
        <v>1695.5179740000001</v>
      </c>
      <c r="K236" s="35">
        <v>0</v>
      </c>
      <c r="L236" s="35">
        <v>9.7949999999999999E-3</v>
      </c>
      <c r="M236" s="35">
        <v>226.77377000000001</v>
      </c>
      <c r="N236" s="37">
        <f t="shared" si="40"/>
        <v>0</v>
      </c>
      <c r="O236" s="35">
        <v>226.77377000000001</v>
      </c>
      <c r="P236" s="38">
        <v>0</v>
      </c>
      <c r="Q236" s="38">
        <v>0</v>
      </c>
      <c r="R236" s="39">
        <f t="shared" si="41"/>
        <v>0</v>
      </c>
      <c r="S236" s="38"/>
      <c r="T236" s="40">
        <v>1075</v>
      </c>
    </row>
    <row r="237" spans="2:20" ht="15.6" x14ac:dyDescent="0.3">
      <c r="B237" s="59">
        <f t="shared" si="42"/>
        <v>19</v>
      </c>
      <c r="C237" s="59" t="s">
        <v>389</v>
      </c>
      <c r="D237" s="45" t="s">
        <v>390</v>
      </c>
      <c r="E237" s="34">
        <v>45107</v>
      </c>
      <c r="F237" s="78"/>
      <c r="G237" s="79">
        <v>10</v>
      </c>
      <c r="H237" s="80">
        <f t="shared" si="39"/>
        <v>0</v>
      </c>
      <c r="I237" s="78"/>
      <c r="J237" s="78"/>
      <c r="K237" s="78"/>
      <c r="L237" s="78"/>
      <c r="M237" s="78"/>
      <c r="N237" s="80">
        <f t="shared" si="40"/>
        <v>0</v>
      </c>
      <c r="O237" s="78"/>
      <c r="P237" s="81"/>
      <c r="Q237" s="81"/>
      <c r="R237" s="82">
        <f t="shared" si="41"/>
        <v>0</v>
      </c>
      <c r="S237" s="81"/>
      <c r="T237" s="83"/>
    </row>
    <row r="238" spans="2:20" ht="15.6" x14ac:dyDescent="0.3">
      <c r="B238" s="59">
        <f t="shared" si="42"/>
        <v>20</v>
      </c>
      <c r="C238" s="59" t="s">
        <v>391</v>
      </c>
      <c r="D238" s="33" t="s">
        <v>392</v>
      </c>
      <c r="E238" s="34">
        <v>45107</v>
      </c>
      <c r="F238" s="35"/>
      <c r="G238" s="36">
        <v>10</v>
      </c>
      <c r="H238" s="37">
        <f t="shared" si="39"/>
        <v>0</v>
      </c>
      <c r="I238" s="35"/>
      <c r="J238" s="35"/>
      <c r="K238" s="35"/>
      <c r="L238" s="35"/>
      <c r="M238" s="35"/>
      <c r="N238" s="37">
        <f t="shared" si="40"/>
        <v>0</v>
      </c>
      <c r="O238" s="35"/>
      <c r="P238" s="38"/>
      <c r="Q238" s="38"/>
      <c r="R238" s="39">
        <f t="shared" si="41"/>
        <v>0</v>
      </c>
      <c r="S238" s="38"/>
      <c r="T238" s="40"/>
    </row>
    <row r="239" spans="2:20" ht="15.6" x14ac:dyDescent="0.3">
      <c r="B239" s="59">
        <f t="shared" si="42"/>
        <v>21</v>
      </c>
      <c r="C239" s="59" t="s">
        <v>393</v>
      </c>
      <c r="D239" s="33" t="s">
        <v>394</v>
      </c>
      <c r="E239" s="34">
        <v>45107</v>
      </c>
      <c r="F239" s="35">
        <f>11.97504*G239</f>
        <v>119.7504</v>
      </c>
      <c r="G239" s="36">
        <v>10</v>
      </c>
      <c r="H239" s="37">
        <f t="shared" si="39"/>
        <v>11.97504</v>
      </c>
      <c r="I239" s="35">
        <v>10.233461</v>
      </c>
      <c r="J239" s="35">
        <v>14.072259000000001</v>
      </c>
      <c r="K239" s="35">
        <v>0</v>
      </c>
      <c r="L239" s="35">
        <v>1.6949999999999999E-3</v>
      </c>
      <c r="M239" s="35">
        <v>-3.7756409999999998</v>
      </c>
      <c r="N239" s="37">
        <f t="shared" si="40"/>
        <v>0</v>
      </c>
      <c r="O239" s="35">
        <v>-3.7756409999999998</v>
      </c>
      <c r="P239" s="38">
        <v>0</v>
      </c>
      <c r="Q239" s="38">
        <v>0</v>
      </c>
      <c r="R239" s="39">
        <f t="shared" si="41"/>
        <v>0</v>
      </c>
      <c r="S239" s="38"/>
      <c r="T239" s="40">
        <v>494</v>
      </c>
    </row>
    <row r="240" spans="2:20" ht="15.6" x14ac:dyDescent="0.3">
      <c r="B240" s="59">
        <f t="shared" si="42"/>
        <v>22</v>
      </c>
      <c r="C240" s="59" t="s">
        <v>395</v>
      </c>
      <c r="D240" s="33" t="s">
        <v>396</v>
      </c>
      <c r="E240" s="34">
        <v>45107</v>
      </c>
      <c r="F240" s="35">
        <f>10.7*G240</f>
        <v>107</v>
      </c>
      <c r="G240" s="36">
        <v>10</v>
      </c>
      <c r="H240" s="37">
        <f t="shared" si="39"/>
        <v>10.7</v>
      </c>
      <c r="I240" s="35">
        <v>-44.196921000000003</v>
      </c>
      <c r="J240" s="35">
        <v>348.37968899999998</v>
      </c>
      <c r="K240" s="35">
        <v>0</v>
      </c>
      <c r="L240" s="35">
        <v>6.2534000000000006E-2</v>
      </c>
      <c r="M240" s="35">
        <v>0.63549199999999995</v>
      </c>
      <c r="N240" s="37">
        <f t="shared" si="40"/>
        <v>0.30619999999999997</v>
      </c>
      <c r="O240" s="35">
        <v>0.32929199999999997</v>
      </c>
      <c r="P240" s="38">
        <v>0</v>
      </c>
      <c r="Q240" s="38">
        <v>0</v>
      </c>
      <c r="R240" s="39">
        <f t="shared" si="41"/>
        <v>0</v>
      </c>
      <c r="S240" s="38"/>
      <c r="T240" s="40">
        <v>1347</v>
      </c>
    </row>
    <row r="241" spans="2:20" ht="15.6" x14ac:dyDescent="0.3">
      <c r="B241" s="59">
        <f t="shared" si="42"/>
        <v>23</v>
      </c>
      <c r="C241" s="59" t="s">
        <v>397</v>
      </c>
      <c r="D241" s="33" t="s">
        <v>398</v>
      </c>
      <c r="E241" s="34">
        <v>45107</v>
      </c>
      <c r="F241" s="35">
        <f>12.1237*G241</f>
        <v>121.23699999999999</v>
      </c>
      <c r="G241" s="36">
        <v>10</v>
      </c>
      <c r="H241" s="37">
        <f t="shared" si="39"/>
        <v>12.123699999999999</v>
      </c>
      <c r="I241" s="35">
        <v>-122.617788</v>
      </c>
      <c r="J241" s="35">
        <v>131.497806</v>
      </c>
      <c r="K241" s="35">
        <v>0</v>
      </c>
      <c r="L241" s="35">
        <v>2.4859999999999999E-3</v>
      </c>
      <c r="M241" s="35">
        <v>-15.226362</v>
      </c>
      <c r="N241" s="37">
        <f t="shared" si="40"/>
        <v>-2.899025</v>
      </c>
      <c r="O241" s="35">
        <v>-12.327337</v>
      </c>
      <c r="P241" s="38">
        <v>0</v>
      </c>
      <c r="Q241" s="38">
        <v>0</v>
      </c>
      <c r="R241" s="39">
        <f t="shared" si="41"/>
        <v>0</v>
      </c>
      <c r="S241" s="38"/>
      <c r="T241" s="40">
        <v>495</v>
      </c>
    </row>
    <row r="242" spans="2:20" ht="15.6" x14ac:dyDescent="0.3">
      <c r="B242" s="59">
        <f t="shared" si="42"/>
        <v>24</v>
      </c>
      <c r="C242" s="59" t="s">
        <v>399</v>
      </c>
      <c r="D242" s="33" t="s">
        <v>400</v>
      </c>
      <c r="E242" s="34">
        <v>45107</v>
      </c>
      <c r="F242" s="35">
        <f>23*G242</f>
        <v>230</v>
      </c>
      <c r="G242" s="36">
        <v>10</v>
      </c>
      <c r="H242" s="37">
        <f t="shared" si="39"/>
        <v>23</v>
      </c>
      <c r="I242" s="35">
        <v>175.40043299999999</v>
      </c>
      <c r="J242" s="35">
        <v>396.07069899999999</v>
      </c>
      <c r="K242" s="35">
        <v>4.1611700000000003</v>
      </c>
      <c r="L242" s="35">
        <v>0</v>
      </c>
      <c r="M242" s="35">
        <v>-24.429009000000001</v>
      </c>
      <c r="N242" s="37">
        <f t="shared" si="40"/>
        <v>-0.71047500000000241</v>
      </c>
      <c r="O242" s="35">
        <v>-23.718533999999998</v>
      </c>
      <c r="P242" s="38">
        <v>0</v>
      </c>
      <c r="Q242" s="38">
        <v>0</v>
      </c>
      <c r="R242" s="39">
        <f t="shared" si="41"/>
        <v>0</v>
      </c>
      <c r="S242" s="38"/>
      <c r="T242" s="40">
        <v>822</v>
      </c>
    </row>
    <row r="243" spans="2:20" ht="15.6" x14ac:dyDescent="0.3">
      <c r="B243" s="59">
        <f t="shared" si="42"/>
        <v>25</v>
      </c>
      <c r="C243" s="59" t="s">
        <v>401</v>
      </c>
      <c r="D243" s="45" t="s">
        <v>402</v>
      </c>
      <c r="E243" s="34">
        <v>45107</v>
      </c>
      <c r="F243" s="35">
        <f>52.2144*G243</f>
        <v>522.14400000000001</v>
      </c>
      <c r="G243" s="36">
        <v>10</v>
      </c>
      <c r="H243" s="37">
        <f t="shared" si="39"/>
        <v>52.214399999999998</v>
      </c>
      <c r="I243" s="35">
        <v>713.59694200000001</v>
      </c>
      <c r="J243" s="35">
        <v>965.41952100000003</v>
      </c>
      <c r="K243" s="35">
        <v>12.29856</v>
      </c>
      <c r="L243" s="35">
        <v>4.3252600000000001</v>
      </c>
      <c r="M243" s="35">
        <v>-69.400081999999998</v>
      </c>
      <c r="N243" s="37">
        <f t="shared" si="40"/>
        <v>-9.128701999999997</v>
      </c>
      <c r="O243" s="35">
        <v>-60.271380000000001</v>
      </c>
      <c r="P243" s="38">
        <v>0</v>
      </c>
      <c r="Q243" s="38">
        <v>0</v>
      </c>
      <c r="R243" s="39">
        <f t="shared" si="41"/>
        <v>0</v>
      </c>
      <c r="S243" s="38"/>
      <c r="T243" s="40">
        <v>958</v>
      </c>
    </row>
    <row r="244" spans="2:20" ht="15.6" x14ac:dyDescent="0.3">
      <c r="B244" s="59">
        <f t="shared" si="42"/>
        <v>26</v>
      </c>
      <c r="C244" s="59" t="s">
        <v>403</v>
      </c>
      <c r="D244" s="33" t="s">
        <v>404</v>
      </c>
      <c r="E244" s="34">
        <v>45107</v>
      </c>
      <c r="F244" s="35">
        <f>4.467036*G244</f>
        <v>44.670360000000002</v>
      </c>
      <c r="G244" s="36">
        <v>10</v>
      </c>
      <c r="H244" s="37">
        <f t="shared" si="39"/>
        <v>4.4670360000000002</v>
      </c>
      <c r="I244" s="35">
        <v>-433.92725999999999</v>
      </c>
      <c r="J244" s="35">
        <v>758.70622500000002</v>
      </c>
      <c r="K244" s="35">
        <v>0</v>
      </c>
      <c r="L244" s="35">
        <v>0</v>
      </c>
      <c r="M244" s="35">
        <v>-26.494508</v>
      </c>
      <c r="N244" s="37">
        <f t="shared" si="40"/>
        <v>0</v>
      </c>
      <c r="O244" s="35">
        <v>-26.494508</v>
      </c>
      <c r="P244" s="38">
        <v>0</v>
      </c>
      <c r="Q244" s="38">
        <v>0</v>
      </c>
      <c r="R244" s="39">
        <f t="shared" si="41"/>
        <v>0</v>
      </c>
      <c r="S244" s="38"/>
      <c r="T244" s="40">
        <v>747</v>
      </c>
    </row>
    <row r="245" spans="2:20" ht="15.6" x14ac:dyDescent="0.3">
      <c r="B245" s="59">
        <f t="shared" si="42"/>
        <v>27</v>
      </c>
      <c r="C245" s="59" t="s">
        <v>405</v>
      </c>
      <c r="D245" s="33" t="s">
        <v>406</v>
      </c>
      <c r="E245" s="34">
        <v>45107</v>
      </c>
      <c r="F245" s="35">
        <f>8.775*G245</f>
        <v>87.75</v>
      </c>
      <c r="G245" s="36">
        <v>10</v>
      </c>
      <c r="H245" s="37">
        <f t="shared" si="39"/>
        <v>8.7750000000000004</v>
      </c>
      <c r="I245" s="35">
        <v>-1130.245046</v>
      </c>
      <c r="J245" s="35">
        <v>1572.6008019999999</v>
      </c>
      <c r="K245" s="35">
        <v>0</v>
      </c>
      <c r="L245" s="35">
        <v>15.892533999999999</v>
      </c>
      <c r="M245" s="35">
        <v>-105.659066</v>
      </c>
      <c r="N245" s="37">
        <f t="shared" si="40"/>
        <v>-9.4920339999999896</v>
      </c>
      <c r="O245" s="35">
        <v>-96.167032000000006</v>
      </c>
      <c r="P245" s="38">
        <v>0</v>
      </c>
      <c r="Q245" s="38">
        <v>0</v>
      </c>
      <c r="R245" s="39">
        <f t="shared" si="41"/>
        <v>0</v>
      </c>
      <c r="S245" s="38"/>
      <c r="T245" s="40">
        <v>1516</v>
      </c>
    </row>
    <row r="246" spans="2:20" ht="15.6" x14ac:dyDescent="0.3">
      <c r="B246" s="27"/>
      <c r="C246" s="27"/>
      <c r="D246" s="27"/>
      <c r="E246" s="27"/>
      <c r="F246" s="27"/>
      <c r="G246" s="42"/>
      <c r="H246" s="43"/>
      <c r="I246" s="29"/>
      <c r="J246" s="29"/>
      <c r="K246" s="29"/>
      <c r="L246" s="29"/>
      <c r="M246" s="29"/>
      <c r="N246" s="44"/>
      <c r="O246" s="29"/>
      <c r="P246" s="29"/>
      <c r="Q246" s="29"/>
      <c r="R246" s="44"/>
      <c r="S246" s="29"/>
      <c r="T246" s="29"/>
    </row>
    <row r="247" spans="2:20" ht="15.6" x14ac:dyDescent="0.3">
      <c r="B247" s="46">
        <f>COUNT(B182:B246)</f>
        <v>62</v>
      </c>
      <c r="C247" s="46"/>
      <c r="D247" s="47"/>
      <c r="E247" s="47"/>
      <c r="F247" s="47">
        <f>SUM(F182:F246)</f>
        <v>20694.234265000006</v>
      </c>
      <c r="G247" s="48"/>
      <c r="H247" s="49">
        <f>SUM(H182:H246)</f>
        <v>2260.2820159999992</v>
      </c>
      <c r="I247" s="47">
        <f>SUM(I182:I246)</f>
        <v>156567.59776600005</v>
      </c>
      <c r="J247" s="47">
        <f>SUM(J182:J246)</f>
        <v>444662.23708689993</v>
      </c>
      <c r="K247" s="47">
        <f>SUM(K182:K246)</f>
        <v>399863.59544</v>
      </c>
      <c r="L247" s="47">
        <f>SUM(L182:L246)</f>
        <v>20648.390162</v>
      </c>
      <c r="M247" s="47">
        <f>SUM(M182:M246)</f>
        <v>7793.9910130000017</v>
      </c>
      <c r="N247" s="50">
        <f>SUM(N182:N246)</f>
        <v>3293.1877240000013</v>
      </c>
      <c r="O247" s="47">
        <f>SUM(O182:O246)</f>
        <v>4500.8032889999977</v>
      </c>
      <c r="P247" s="51"/>
      <c r="Q247" s="51"/>
      <c r="R247" s="52"/>
      <c r="S247" s="51"/>
      <c r="T247" s="53">
        <f>SUM(T182:T246)</f>
        <v>66109</v>
      </c>
    </row>
    <row r="248" spans="2:20" ht="15.6" x14ac:dyDescent="0.3">
      <c r="B248" s="27"/>
      <c r="C248" s="27"/>
      <c r="D248" s="27"/>
      <c r="E248" s="27"/>
      <c r="F248" s="27"/>
      <c r="G248" s="42"/>
      <c r="H248" s="43"/>
      <c r="I248" s="29"/>
      <c r="J248" s="29"/>
      <c r="K248" s="29"/>
      <c r="L248" s="29"/>
      <c r="M248" s="29"/>
      <c r="N248" s="44"/>
      <c r="O248" s="29"/>
      <c r="P248" s="29"/>
      <c r="Q248" s="29"/>
      <c r="R248" s="44"/>
      <c r="S248" s="29"/>
      <c r="T248" s="29"/>
    </row>
    <row r="249" spans="2:20" ht="15.6" x14ac:dyDescent="0.3">
      <c r="B249" s="27"/>
      <c r="C249" s="27"/>
      <c r="D249" s="27"/>
      <c r="E249" s="27"/>
      <c r="F249" s="27"/>
      <c r="G249" s="42"/>
      <c r="H249" s="43"/>
      <c r="I249" s="29"/>
      <c r="J249" s="29"/>
      <c r="K249" s="29"/>
      <c r="L249" s="29"/>
      <c r="M249" s="29"/>
      <c r="N249" s="44"/>
      <c r="O249" s="29"/>
      <c r="P249" s="29"/>
      <c r="Q249" s="29"/>
      <c r="R249" s="44"/>
      <c r="S249" s="29"/>
      <c r="T249" s="29"/>
    </row>
    <row r="250" spans="2:20" ht="18" x14ac:dyDescent="0.35">
      <c r="B250" s="27"/>
      <c r="C250" s="31">
        <v>9</v>
      </c>
      <c r="D250" s="31" t="s">
        <v>407</v>
      </c>
      <c r="E250" s="60"/>
      <c r="F250" s="60"/>
      <c r="G250" s="42"/>
      <c r="H250" s="43"/>
      <c r="I250" s="29"/>
      <c r="J250" s="29"/>
      <c r="K250" s="29"/>
      <c r="L250" s="29"/>
      <c r="M250" s="29"/>
      <c r="N250" s="44"/>
      <c r="O250" s="29"/>
      <c r="P250" s="29"/>
      <c r="Q250" s="29"/>
      <c r="R250" s="44"/>
      <c r="S250" s="29"/>
      <c r="T250" s="29"/>
    </row>
    <row r="251" spans="2:20" ht="15.6" x14ac:dyDescent="0.3">
      <c r="B251" s="27"/>
      <c r="C251" s="27"/>
      <c r="D251" s="27"/>
      <c r="E251" s="27"/>
      <c r="F251" s="27"/>
      <c r="G251" s="42"/>
      <c r="H251" s="43"/>
      <c r="I251" s="29"/>
      <c r="J251" s="29"/>
      <c r="K251" s="29"/>
      <c r="L251" s="29"/>
      <c r="M251" s="29"/>
      <c r="N251" s="44"/>
      <c r="O251" s="29"/>
      <c r="P251" s="29"/>
      <c r="Q251" s="29"/>
      <c r="R251" s="44"/>
      <c r="S251" s="29"/>
      <c r="T251" s="29"/>
    </row>
    <row r="252" spans="2:20" ht="15.6" x14ac:dyDescent="0.3">
      <c r="B252" s="59">
        <v>1</v>
      </c>
      <c r="C252" s="59" t="s">
        <v>408</v>
      </c>
      <c r="D252" s="33" t="s">
        <v>409</v>
      </c>
      <c r="E252" s="34">
        <v>45107</v>
      </c>
      <c r="F252" s="35">
        <f>46.565035*G252</f>
        <v>465.65035</v>
      </c>
      <c r="G252" s="36">
        <v>10</v>
      </c>
      <c r="H252" s="37">
        <f t="shared" ref="H252:H256" si="43">+F252/G252</f>
        <v>46.565035000000002</v>
      </c>
      <c r="I252" s="35">
        <v>928.514093</v>
      </c>
      <c r="J252" s="35">
        <v>1153.1601800000001</v>
      </c>
      <c r="K252" s="35">
        <v>335.98355199999997</v>
      </c>
      <c r="L252" s="35">
        <v>0.137823</v>
      </c>
      <c r="M252" s="35">
        <v>-113.84502000000001</v>
      </c>
      <c r="N252" s="37">
        <f>+M252-O252</f>
        <v>-33.966947000000005</v>
      </c>
      <c r="O252" s="35">
        <v>-79.878073000000001</v>
      </c>
      <c r="P252" s="38">
        <v>0</v>
      </c>
      <c r="Q252" s="38">
        <v>0</v>
      </c>
      <c r="R252" s="39">
        <f t="shared" ref="R252:R256" si="44">SUM(P252:Q252)</f>
        <v>0</v>
      </c>
      <c r="S252" s="38"/>
      <c r="T252" s="40">
        <v>548</v>
      </c>
    </row>
    <row r="253" spans="2:20" ht="15.6" x14ac:dyDescent="0.3">
      <c r="B253" s="59">
        <f>+B252+1</f>
        <v>2</v>
      </c>
      <c r="C253" s="59" t="s">
        <v>410</v>
      </c>
      <c r="D253" s="33" t="s">
        <v>411</v>
      </c>
      <c r="E253" s="34">
        <v>45107</v>
      </c>
      <c r="F253" s="35">
        <f>18.48*G253</f>
        <v>184.8</v>
      </c>
      <c r="G253" s="36">
        <v>10</v>
      </c>
      <c r="H253" s="37">
        <f t="shared" si="43"/>
        <v>18.48</v>
      </c>
      <c r="I253" s="35">
        <v>2033.535707</v>
      </c>
      <c r="J253" s="35">
        <v>6970.09069</v>
      </c>
      <c r="K253" s="35">
        <v>14654.707984000001</v>
      </c>
      <c r="L253" s="35">
        <v>238.88064600000001</v>
      </c>
      <c r="M253" s="35">
        <v>344.56414999999998</v>
      </c>
      <c r="N253" s="37">
        <f>+M253-O253</f>
        <v>191.43532599999998</v>
      </c>
      <c r="O253" s="35">
        <v>153.12882400000001</v>
      </c>
      <c r="P253" s="38">
        <v>30</v>
      </c>
      <c r="Q253" s="38">
        <v>0</v>
      </c>
      <c r="R253" s="39">
        <f t="shared" si="44"/>
        <v>30</v>
      </c>
      <c r="S253" s="38"/>
      <c r="T253" s="40">
        <v>587</v>
      </c>
    </row>
    <row r="254" spans="2:20" ht="15.6" x14ac:dyDescent="0.3">
      <c r="B254" s="59">
        <f>+B253+1</f>
        <v>3</v>
      </c>
      <c r="C254" s="59" t="s">
        <v>412</v>
      </c>
      <c r="D254" s="33" t="s">
        <v>413</v>
      </c>
      <c r="E254" s="34">
        <v>45107</v>
      </c>
      <c r="F254" s="35">
        <f>9.66*G254</f>
        <v>96.6</v>
      </c>
      <c r="G254" s="36">
        <v>10</v>
      </c>
      <c r="H254" s="37">
        <f t="shared" si="43"/>
        <v>9.66</v>
      </c>
      <c r="I254" s="35">
        <v>1788.356</v>
      </c>
      <c r="J254" s="35">
        <v>4730.4650000000001</v>
      </c>
      <c r="K254" s="35">
        <v>8085.1819999999998</v>
      </c>
      <c r="L254" s="35">
        <v>214.34200000000001</v>
      </c>
      <c r="M254" s="35">
        <v>237.155</v>
      </c>
      <c r="N254" s="37">
        <f>+M254-O254</f>
        <v>84.137</v>
      </c>
      <c r="O254" s="35">
        <v>153.018</v>
      </c>
      <c r="P254" s="38">
        <v>65</v>
      </c>
      <c r="Q254" s="38">
        <v>0</v>
      </c>
      <c r="R254" s="39">
        <f t="shared" si="44"/>
        <v>65</v>
      </c>
      <c r="S254" s="38"/>
      <c r="T254" s="40">
        <v>1148</v>
      </c>
    </row>
    <row r="255" spans="2:20" ht="15.6" x14ac:dyDescent="0.3">
      <c r="B255" s="59">
        <f t="shared" ref="B255:B256" si="45">+B254+1</f>
        <v>4</v>
      </c>
      <c r="C255" s="59" t="s">
        <v>414</v>
      </c>
      <c r="D255" s="33" t="s">
        <v>415</v>
      </c>
      <c r="E255" s="34">
        <v>45107</v>
      </c>
      <c r="F255" s="35">
        <v>1360</v>
      </c>
      <c r="G255" s="36">
        <v>10</v>
      </c>
      <c r="H255" s="37">
        <f>+F255/G255</f>
        <v>136</v>
      </c>
      <c r="I255" s="35">
        <v>266.61261200000001</v>
      </c>
      <c r="J255" s="35">
        <v>1517.7118149999999</v>
      </c>
      <c r="K255" s="35">
        <v>860.82540200000005</v>
      </c>
      <c r="L255" s="35">
        <v>5.1314299999999999</v>
      </c>
      <c r="M255" s="35">
        <v>-54.196398000000002</v>
      </c>
      <c r="N255" s="37">
        <f>+M255-O255</f>
        <v>12.270512999999994</v>
      </c>
      <c r="O255" s="35">
        <v>-66.466910999999996</v>
      </c>
      <c r="P255" s="38">
        <v>0</v>
      </c>
      <c r="Q255" s="38">
        <v>0</v>
      </c>
      <c r="R255" s="39">
        <f>SUM(P255:Q255)</f>
        <v>0</v>
      </c>
      <c r="S255" s="38"/>
      <c r="T255" s="40">
        <v>2804</v>
      </c>
    </row>
    <row r="256" spans="2:20" ht="15.6" x14ac:dyDescent="0.3">
      <c r="B256" s="59">
        <f t="shared" si="45"/>
        <v>5</v>
      </c>
      <c r="C256" s="59" t="s">
        <v>416</v>
      </c>
      <c r="D256" s="33" t="s">
        <v>417</v>
      </c>
      <c r="E256" s="34">
        <v>45107</v>
      </c>
      <c r="F256" s="35">
        <f>59.428729*G256</f>
        <v>594.28728999999998</v>
      </c>
      <c r="G256" s="36">
        <v>10</v>
      </c>
      <c r="H256" s="37">
        <f t="shared" si="43"/>
        <v>59.428728999999997</v>
      </c>
      <c r="I256" s="35">
        <v>2529.9915970000002</v>
      </c>
      <c r="J256" s="35">
        <v>5874.8975</v>
      </c>
      <c r="K256" s="35">
        <v>7925.9397300000001</v>
      </c>
      <c r="L256" s="35">
        <v>189.58109999999999</v>
      </c>
      <c r="M256" s="35">
        <v>370.653029</v>
      </c>
      <c r="N256" s="37">
        <f>+M256-O256</f>
        <v>132.69458800000001</v>
      </c>
      <c r="O256" s="35">
        <v>237.95844099999999</v>
      </c>
      <c r="P256" s="38">
        <v>0</v>
      </c>
      <c r="Q256" s="38">
        <v>0</v>
      </c>
      <c r="R256" s="39">
        <f t="shared" si="44"/>
        <v>0</v>
      </c>
      <c r="S256" s="38"/>
      <c r="T256" s="40">
        <v>478</v>
      </c>
    </row>
    <row r="257" spans="2:20" ht="15.6" x14ac:dyDescent="0.3">
      <c r="B257" s="27"/>
      <c r="C257" s="27"/>
      <c r="D257" s="27"/>
      <c r="E257" s="27"/>
      <c r="F257" s="27"/>
      <c r="G257" s="42"/>
      <c r="H257" s="43"/>
      <c r="I257" s="29"/>
      <c r="J257" s="29"/>
      <c r="K257" s="29"/>
      <c r="L257" s="29"/>
      <c r="M257" s="29"/>
      <c r="N257" s="44"/>
      <c r="O257" s="29"/>
      <c r="P257" s="29"/>
      <c r="Q257" s="29"/>
      <c r="R257" s="44"/>
      <c r="S257" s="29"/>
      <c r="T257" s="29"/>
    </row>
    <row r="258" spans="2:20" ht="18" x14ac:dyDescent="0.35">
      <c r="B258" s="27"/>
      <c r="C258" s="27"/>
      <c r="D258" s="55" t="s">
        <v>43</v>
      </c>
      <c r="E258" s="27"/>
      <c r="F258" s="27"/>
      <c r="G258" s="42"/>
      <c r="H258" s="43"/>
      <c r="I258" s="29"/>
      <c r="J258" s="29"/>
      <c r="K258" s="29"/>
      <c r="L258" s="29"/>
      <c r="M258" s="29"/>
      <c r="N258" s="44"/>
      <c r="O258" s="29"/>
      <c r="P258" s="29"/>
      <c r="Q258" s="29"/>
      <c r="R258" s="44"/>
      <c r="S258" s="29"/>
      <c r="T258" s="29"/>
    </row>
    <row r="259" spans="2:20" ht="15.6" x14ac:dyDescent="0.3">
      <c r="B259" s="59">
        <v>1</v>
      </c>
      <c r="C259" s="59" t="s">
        <v>418</v>
      </c>
      <c r="D259" s="33" t="s">
        <v>419</v>
      </c>
      <c r="E259" s="34">
        <v>45199</v>
      </c>
      <c r="F259" s="35"/>
      <c r="G259" s="36">
        <v>10</v>
      </c>
      <c r="H259" s="37">
        <f t="shared" ref="H259:H262" si="46">+F259/G259</f>
        <v>0</v>
      </c>
      <c r="I259" s="35"/>
      <c r="J259" s="35"/>
      <c r="K259" s="35"/>
      <c r="L259" s="35"/>
      <c r="M259" s="35"/>
      <c r="N259" s="37">
        <f>+M259-O259</f>
        <v>0</v>
      </c>
      <c r="O259" s="35"/>
      <c r="P259" s="38"/>
      <c r="Q259" s="38"/>
      <c r="R259" s="39">
        <f t="shared" ref="R259:R262" si="47">SUM(P259:Q259)</f>
        <v>0</v>
      </c>
      <c r="S259" s="38"/>
      <c r="T259" s="40"/>
    </row>
    <row r="260" spans="2:20" ht="15.6" x14ac:dyDescent="0.3">
      <c r="B260" s="59">
        <f t="shared" ref="B260:B262" si="48">+B259+1</f>
        <v>2</v>
      </c>
      <c r="C260" s="59" t="s">
        <v>420</v>
      </c>
      <c r="D260" s="33" t="s">
        <v>421</v>
      </c>
      <c r="E260" s="34">
        <v>45107</v>
      </c>
      <c r="F260" s="35">
        <f>30.00112*G260</f>
        <v>300.01120000000003</v>
      </c>
      <c r="G260" s="36">
        <v>10</v>
      </c>
      <c r="H260" s="37">
        <f>+F260/G260</f>
        <v>30.001120000000004</v>
      </c>
      <c r="I260" s="35">
        <v>868.46010999999999</v>
      </c>
      <c r="J260" s="35">
        <v>1231.700525</v>
      </c>
      <c r="K260" s="35">
        <v>45.321933000000001</v>
      </c>
      <c r="L260" s="35">
        <v>83.653028000000006</v>
      </c>
      <c r="M260" s="35">
        <v>4.58744</v>
      </c>
      <c r="N260" s="37">
        <f>+M260-O260</f>
        <v>9.7937599999999989</v>
      </c>
      <c r="O260" s="35">
        <v>-5.2063199999999998</v>
      </c>
      <c r="P260" s="38">
        <v>0</v>
      </c>
      <c r="Q260" s="38">
        <v>0</v>
      </c>
      <c r="R260" s="39">
        <f>SUM(P260:Q260)</f>
        <v>0</v>
      </c>
      <c r="S260" s="38"/>
      <c r="T260" s="40">
        <v>1527</v>
      </c>
    </row>
    <row r="261" spans="2:20" ht="15.6" x14ac:dyDescent="0.3">
      <c r="B261" s="59">
        <f t="shared" si="48"/>
        <v>3</v>
      </c>
      <c r="C261" s="59" t="s">
        <v>422</v>
      </c>
      <c r="D261" s="33" t="s">
        <v>423</v>
      </c>
      <c r="E261" s="34">
        <v>45199</v>
      </c>
      <c r="F261" s="35"/>
      <c r="G261" s="36">
        <v>10</v>
      </c>
      <c r="H261" s="37">
        <f t="shared" si="46"/>
        <v>0</v>
      </c>
      <c r="I261" s="35"/>
      <c r="J261" s="35"/>
      <c r="K261" s="35"/>
      <c r="L261" s="35"/>
      <c r="M261" s="35"/>
      <c r="N261" s="37">
        <f>+M261-O261</f>
        <v>0</v>
      </c>
      <c r="O261" s="35"/>
      <c r="P261" s="38"/>
      <c r="Q261" s="38"/>
      <c r="R261" s="39">
        <f t="shared" si="47"/>
        <v>0</v>
      </c>
      <c r="S261" s="38"/>
      <c r="T261" s="40"/>
    </row>
    <row r="262" spans="2:20" ht="15.6" x14ac:dyDescent="0.3">
      <c r="B262" s="59">
        <f t="shared" si="48"/>
        <v>4</v>
      </c>
      <c r="C262" s="59" t="s">
        <v>424</v>
      </c>
      <c r="D262" s="33" t="s">
        <v>425</v>
      </c>
      <c r="E262" s="34">
        <v>45199</v>
      </c>
      <c r="F262" s="35"/>
      <c r="G262" s="36">
        <v>10</v>
      </c>
      <c r="H262" s="37">
        <f t="shared" si="46"/>
        <v>0</v>
      </c>
      <c r="I262" s="35"/>
      <c r="J262" s="35"/>
      <c r="K262" s="35"/>
      <c r="L262" s="35"/>
      <c r="M262" s="35"/>
      <c r="N262" s="37">
        <f>+M262-O262</f>
        <v>0</v>
      </c>
      <c r="O262" s="35"/>
      <c r="P262" s="38"/>
      <c r="Q262" s="38"/>
      <c r="R262" s="39">
        <f t="shared" si="47"/>
        <v>0</v>
      </c>
      <c r="S262" s="38"/>
      <c r="T262" s="40"/>
    </row>
    <row r="263" spans="2:20" ht="15.6" x14ac:dyDescent="0.3">
      <c r="B263" s="27"/>
      <c r="C263" s="27"/>
      <c r="D263" s="27"/>
      <c r="E263" s="27"/>
      <c r="F263" s="27"/>
      <c r="G263" s="42"/>
      <c r="H263" s="43"/>
      <c r="I263" s="29"/>
      <c r="J263" s="29"/>
      <c r="K263" s="29"/>
      <c r="L263" s="29"/>
      <c r="M263" s="29"/>
      <c r="N263" s="44"/>
      <c r="O263" s="29"/>
      <c r="P263" s="29"/>
      <c r="Q263" s="29"/>
      <c r="R263" s="44"/>
      <c r="S263" s="29"/>
      <c r="T263" s="29"/>
    </row>
    <row r="264" spans="2:20" ht="15.6" x14ac:dyDescent="0.3">
      <c r="B264" s="46">
        <f>COUNT(B252:B263)</f>
        <v>9</v>
      </c>
      <c r="C264" s="46"/>
      <c r="D264" s="47"/>
      <c r="E264" s="47"/>
      <c r="F264" s="47">
        <f>SUM(F252:F263)</f>
        <v>3001.3488399999997</v>
      </c>
      <c r="G264" s="48"/>
      <c r="H264" s="49">
        <f t="shared" ref="H264:O264" si="49">SUM(H252:H263)</f>
        <v>300.134884</v>
      </c>
      <c r="I264" s="47">
        <f t="shared" si="49"/>
        <v>8415.4701189999996</v>
      </c>
      <c r="J264" s="47">
        <f t="shared" si="49"/>
        <v>21478.025710000002</v>
      </c>
      <c r="K264" s="47">
        <f t="shared" si="49"/>
        <v>31907.960600999999</v>
      </c>
      <c r="L264" s="47">
        <f t="shared" si="49"/>
        <v>731.72602699999993</v>
      </c>
      <c r="M264" s="47">
        <f t="shared" si="49"/>
        <v>788.91820099999995</v>
      </c>
      <c r="N264" s="50">
        <f t="shared" si="49"/>
        <v>396.36424</v>
      </c>
      <c r="O264" s="47">
        <f t="shared" si="49"/>
        <v>392.55396100000002</v>
      </c>
      <c r="P264" s="51"/>
      <c r="Q264" s="51"/>
      <c r="R264" s="52"/>
      <c r="S264" s="51"/>
      <c r="T264" s="53">
        <f>SUM(T252:T263)</f>
        <v>7092</v>
      </c>
    </row>
    <row r="265" spans="2:20" ht="15.6" x14ac:dyDescent="0.3">
      <c r="B265" s="27"/>
      <c r="C265" s="27"/>
      <c r="D265" s="27"/>
      <c r="E265" s="27"/>
      <c r="F265" s="27"/>
      <c r="G265" s="42"/>
      <c r="H265" s="43"/>
      <c r="I265" s="29"/>
      <c r="J265" s="29"/>
      <c r="K265" s="29"/>
      <c r="L265" s="29"/>
      <c r="M265" s="29"/>
      <c r="N265" s="44"/>
      <c r="O265" s="29"/>
      <c r="P265" s="29"/>
      <c r="Q265" s="29"/>
      <c r="R265" s="44"/>
      <c r="S265" s="29"/>
      <c r="T265" s="29"/>
    </row>
    <row r="266" spans="2:20" ht="15.6" x14ac:dyDescent="0.3">
      <c r="B266" s="27"/>
      <c r="C266" s="27"/>
      <c r="D266" s="27"/>
      <c r="E266" s="27"/>
      <c r="F266" s="27"/>
      <c r="G266" s="42"/>
      <c r="H266" s="43"/>
      <c r="I266" s="29"/>
      <c r="J266" s="29"/>
      <c r="K266" s="29"/>
      <c r="L266" s="29"/>
      <c r="M266" s="29"/>
      <c r="N266" s="44"/>
      <c r="O266" s="29"/>
      <c r="P266" s="29"/>
      <c r="Q266" s="29"/>
      <c r="R266" s="44"/>
      <c r="S266" s="29"/>
      <c r="T266" s="29"/>
    </row>
    <row r="267" spans="2:20" ht="18" x14ac:dyDescent="0.35">
      <c r="B267" s="27"/>
      <c r="C267" s="31">
        <v>10</v>
      </c>
      <c r="D267" s="31" t="s">
        <v>426</v>
      </c>
      <c r="E267" s="60"/>
      <c r="F267" s="60"/>
      <c r="G267" s="42"/>
      <c r="H267" s="43"/>
      <c r="I267" s="29"/>
      <c r="J267" s="29"/>
      <c r="K267" s="29"/>
      <c r="L267" s="29"/>
      <c r="M267" s="29"/>
      <c r="N267" s="44"/>
      <c r="O267" s="29"/>
      <c r="P267" s="29"/>
      <c r="Q267" s="29"/>
      <c r="R267" s="44"/>
      <c r="S267" s="29"/>
      <c r="T267" s="29"/>
    </row>
    <row r="268" spans="2:20" ht="15.6" x14ac:dyDescent="0.3">
      <c r="B268" s="27"/>
      <c r="C268" s="27"/>
      <c r="D268" s="27"/>
      <c r="E268" s="27"/>
      <c r="F268" s="27"/>
      <c r="G268" s="42"/>
      <c r="H268" s="43"/>
      <c r="I268" s="29"/>
      <c r="J268" s="29"/>
      <c r="K268" s="29"/>
      <c r="L268" s="29"/>
      <c r="M268" s="29"/>
      <c r="N268" s="44"/>
      <c r="O268" s="29"/>
      <c r="P268" s="29"/>
      <c r="Q268" s="29"/>
      <c r="R268" s="44"/>
      <c r="S268" s="29"/>
      <c r="T268" s="29"/>
    </row>
    <row r="269" spans="2:20" ht="15.6" x14ac:dyDescent="0.3">
      <c r="B269" s="59">
        <v>1</v>
      </c>
      <c r="C269" s="59" t="s">
        <v>427</v>
      </c>
      <c r="D269" s="33" t="s">
        <v>428</v>
      </c>
      <c r="E269" s="34">
        <v>45107</v>
      </c>
      <c r="F269" s="35">
        <f>84*G269</f>
        <v>840</v>
      </c>
      <c r="G269" s="36">
        <v>10</v>
      </c>
      <c r="H269" s="37">
        <f t="shared" ref="H269:H304" si="50">+F269/G269</f>
        <v>84</v>
      </c>
      <c r="I269" s="35">
        <v>8093.3109999999997</v>
      </c>
      <c r="J269" s="35">
        <v>22893.797999999999</v>
      </c>
      <c r="K269" s="35">
        <v>17072.735000000001</v>
      </c>
      <c r="L269" s="35">
        <v>981.80899999999997</v>
      </c>
      <c r="M269" s="35">
        <v>1308.6659999999999</v>
      </c>
      <c r="N269" s="37">
        <f t="shared" ref="N269:N304" si="51">+M269-O269</f>
        <v>248.03599999999983</v>
      </c>
      <c r="O269" s="35">
        <v>1060.6300000000001</v>
      </c>
      <c r="P269" s="38">
        <v>35</v>
      </c>
      <c r="Q269" s="38">
        <v>0</v>
      </c>
      <c r="R269" s="39">
        <f t="shared" ref="R269:R304" si="52">SUM(P269:Q269)</f>
        <v>35</v>
      </c>
      <c r="S269" s="38"/>
      <c r="T269" s="40">
        <v>915</v>
      </c>
    </row>
    <row r="270" spans="2:20" ht="15.6" x14ac:dyDescent="0.3">
      <c r="B270" s="59">
        <f>+B269+1</f>
        <v>2</v>
      </c>
      <c r="C270" s="32" t="s">
        <v>429</v>
      </c>
      <c r="D270" s="33" t="s">
        <v>430</v>
      </c>
      <c r="E270" s="34">
        <v>45107</v>
      </c>
      <c r="F270" s="35">
        <f>8*G270</f>
        <v>80</v>
      </c>
      <c r="G270" s="36">
        <v>10</v>
      </c>
      <c r="H270" s="37">
        <f>+F270/G270</f>
        <v>8</v>
      </c>
      <c r="I270" s="35">
        <v>66.064832999999993</v>
      </c>
      <c r="J270" s="35">
        <v>66.972210000000004</v>
      </c>
      <c r="K270" s="35">
        <v>32.149504</v>
      </c>
      <c r="L270" s="35">
        <v>3.48E-4</v>
      </c>
      <c r="M270" s="35">
        <v>3.4339249999999999</v>
      </c>
      <c r="N270" s="37">
        <f>+M270-O270</f>
        <v>0.995838</v>
      </c>
      <c r="O270" s="35">
        <v>2.4380869999999999</v>
      </c>
      <c r="P270" s="38">
        <v>0</v>
      </c>
      <c r="Q270" s="38">
        <v>0</v>
      </c>
      <c r="R270" s="39">
        <f>SUM(P270:Q270)</f>
        <v>0</v>
      </c>
      <c r="S270" s="38"/>
      <c r="T270" s="40">
        <v>211</v>
      </c>
    </row>
    <row r="271" spans="2:20" ht="15.6" x14ac:dyDescent="0.3">
      <c r="B271" s="59">
        <f>+B270+1</f>
        <v>3</v>
      </c>
      <c r="C271" s="59" t="s">
        <v>431</v>
      </c>
      <c r="D271" s="33" t="s">
        <v>432</v>
      </c>
      <c r="E271" s="34">
        <v>45107</v>
      </c>
      <c r="F271" s="35">
        <f>8.471535*G271</f>
        <v>84.715350000000001</v>
      </c>
      <c r="G271" s="36">
        <v>10</v>
      </c>
      <c r="H271" s="37">
        <f t="shared" si="50"/>
        <v>8.4715349999999994</v>
      </c>
      <c r="I271" s="35">
        <v>1799.790436</v>
      </c>
      <c r="J271" s="35">
        <v>3343.0787989999999</v>
      </c>
      <c r="K271" s="35">
        <v>4327.0946990000002</v>
      </c>
      <c r="L271" s="35">
        <v>86.693225999999996</v>
      </c>
      <c r="M271" s="35">
        <v>160.193726</v>
      </c>
      <c r="N271" s="37">
        <f t="shared" si="51"/>
        <v>67.275632000000002</v>
      </c>
      <c r="O271" s="35">
        <v>92.918093999999996</v>
      </c>
      <c r="P271" s="38">
        <v>7.5</v>
      </c>
      <c r="Q271" s="38">
        <v>0</v>
      </c>
      <c r="R271" s="39">
        <f t="shared" si="52"/>
        <v>7.5</v>
      </c>
      <c r="S271" s="38"/>
      <c r="T271" s="40">
        <v>670</v>
      </c>
    </row>
    <row r="272" spans="2:20" ht="15.6" x14ac:dyDescent="0.3">
      <c r="B272" s="59">
        <f t="shared" ref="B272:B304" si="53">+B271+1</f>
        <v>4</v>
      </c>
      <c r="C272" s="59" t="s">
        <v>433</v>
      </c>
      <c r="D272" s="33" t="s">
        <v>434</v>
      </c>
      <c r="E272" s="34">
        <v>45107</v>
      </c>
      <c r="F272" s="35">
        <f>485.409731*G272</f>
        <v>4854.0973100000001</v>
      </c>
      <c r="G272" s="36">
        <v>10</v>
      </c>
      <c r="H272" s="37">
        <f t="shared" si="50"/>
        <v>485.40973100000002</v>
      </c>
      <c r="I272" s="35">
        <v>13324.829475</v>
      </c>
      <c r="J272" s="35">
        <v>25990.435154999999</v>
      </c>
      <c r="K272" s="35">
        <v>31571.122963999998</v>
      </c>
      <c r="L272" s="35">
        <v>814.18429600000002</v>
      </c>
      <c r="M272" s="35">
        <v>1914.4270469999999</v>
      </c>
      <c r="N272" s="37">
        <f t="shared" si="51"/>
        <v>443.97354899999982</v>
      </c>
      <c r="O272" s="35">
        <v>1470.4534980000001</v>
      </c>
      <c r="P272" s="38">
        <v>0</v>
      </c>
      <c r="Q272" s="38">
        <v>0</v>
      </c>
      <c r="R272" s="39">
        <f t="shared" si="52"/>
        <v>0</v>
      </c>
      <c r="S272" s="85"/>
      <c r="T272" s="40">
        <v>7085</v>
      </c>
    </row>
    <row r="273" spans="2:20" ht="15.6" x14ac:dyDescent="0.3">
      <c r="B273" s="59">
        <f t="shared" si="53"/>
        <v>5</v>
      </c>
      <c r="C273" s="59" t="s">
        <v>435</v>
      </c>
      <c r="D273" s="33" t="s">
        <v>436</v>
      </c>
      <c r="E273" s="34">
        <v>45107</v>
      </c>
      <c r="F273" s="35">
        <f>9.66*G273</f>
        <v>96.6</v>
      </c>
      <c r="G273" s="36">
        <v>10</v>
      </c>
      <c r="H273" s="37">
        <f t="shared" si="50"/>
        <v>9.66</v>
      </c>
      <c r="I273" s="35">
        <v>924.31</v>
      </c>
      <c r="J273" s="35">
        <v>1955.662</v>
      </c>
      <c r="K273" s="35">
        <v>1676.6790000000001</v>
      </c>
      <c r="L273" s="35">
        <v>95.953999999999994</v>
      </c>
      <c r="M273" s="35">
        <v>-231.76400000000001</v>
      </c>
      <c r="N273" s="37">
        <f t="shared" si="51"/>
        <v>-36.028999999999996</v>
      </c>
      <c r="O273" s="35">
        <v>-195.73500000000001</v>
      </c>
      <c r="P273" s="38">
        <v>0</v>
      </c>
      <c r="Q273" s="38">
        <v>0</v>
      </c>
      <c r="R273" s="39">
        <f t="shared" si="52"/>
        <v>0</v>
      </c>
      <c r="S273" s="38"/>
      <c r="T273" s="40">
        <v>966</v>
      </c>
    </row>
    <row r="274" spans="2:20" ht="15.6" x14ac:dyDescent="0.3">
      <c r="B274" s="59">
        <f t="shared" si="53"/>
        <v>6</v>
      </c>
      <c r="C274" s="59" t="s">
        <v>437</v>
      </c>
      <c r="D274" s="33" t="s">
        <v>438</v>
      </c>
      <c r="E274" s="34">
        <v>45107</v>
      </c>
      <c r="F274" s="35">
        <f>10.45789*G274</f>
        <v>104.5789</v>
      </c>
      <c r="G274" s="36">
        <v>10</v>
      </c>
      <c r="H274" s="37">
        <f t="shared" si="50"/>
        <v>10.457890000000001</v>
      </c>
      <c r="I274" s="35">
        <v>259.26727699999998</v>
      </c>
      <c r="J274" s="35">
        <v>1226.737535</v>
      </c>
      <c r="K274" s="35">
        <v>857.99619800000005</v>
      </c>
      <c r="L274" s="35">
        <v>27.370495999999999</v>
      </c>
      <c r="M274" s="35">
        <v>-132.79401200000001</v>
      </c>
      <c r="N274" s="37">
        <f t="shared" si="51"/>
        <v>6.7495030000000042</v>
      </c>
      <c r="O274" s="35">
        <v>-139.54351500000001</v>
      </c>
      <c r="P274" s="38">
        <v>0</v>
      </c>
      <c r="Q274" s="38">
        <v>0</v>
      </c>
      <c r="R274" s="39">
        <f t="shared" si="52"/>
        <v>0</v>
      </c>
      <c r="S274" s="38"/>
      <c r="T274" s="40">
        <v>618</v>
      </c>
    </row>
    <row r="275" spans="2:20" ht="15.6" x14ac:dyDescent="0.3">
      <c r="B275" s="59">
        <f t="shared" si="53"/>
        <v>7</v>
      </c>
      <c r="C275" s="59" t="s">
        <v>439</v>
      </c>
      <c r="D275" s="33" t="s">
        <v>440</v>
      </c>
      <c r="E275" s="34">
        <v>45107</v>
      </c>
      <c r="F275" s="35">
        <v>30</v>
      </c>
      <c r="G275" s="36">
        <v>10</v>
      </c>
      <c r="H275" s="37">
        <f t="shared" si="50"/>
        <v>3</v>
      </c>
      <c r="I275" s="35">
        <v>10735.485699000001</v>
      </c>
      <c r="J275" s="35">
        <v>26223.693726000001</v>
      </c>
      <c r="K275" s="35">
        <v>18545.108053</v>
      </c>
      <c r="L275" s="35">
        <v>745.26627299999996</v>
      </c>
      <c r="M275" s="35">
        <v>1781.4835559999999</v>
      </c>
      <c r="N275" s="37">
        <f t="shared" si="51"/>
        <v>377.14285599999994</v>
      </c>
      <c r="O275" s="35">
        <v>1404.3407</v>
      </c>
      <c r="P275" s="38">
        <v>350</v>
      </c>
      <c r="Q275" s="38">
        <v>0</v>
      </c>
      <c r="R275" s="39">
        <f t="shared" si="52"/>
        <v>350</v>
      </c>
      <c r="S275" s="38"/>
      <c r="T275" s="40">
        <v>415</v>
      </c>
    </row>
    <row r="276" spans="2:20" ht="15.6" x14ac:dyDescent="0.3">
      <c r="B276" s="59">
        <f t="shared" si="53"/>
        <v>8</v>
      </c>
      <c r="C276" s="59" t="s">
        <v>441</v>
      </c>
      <c r="D276" s="33" t="s">
        <v>442</v>
      </c>
      <c r="E276" s="34">
        <v>45107</v>
      </c>
      <c r="F276" s="35">
        <f>6.432*G276</f>
        <v>64.320000000000007</v>
      </c>
      <c r="G276" s="36">
        <v>10</v>
      </c>
      <c r="H276" s="37">
        <f t="shared" si="50"/>
        <v>6.4320000000000004</v>
      </c>
      <c r="I276" s="35">
        <v>9644.9720070000003</v>
      </c>
      <c r="J276" s="35">
        <v>27269.973203000001</v>
      </c>
      <c r="K276" s="35">
        <v>24156.586324</v>
      </c>
      <c r="L276" s="35">
        <v>997.35670100000004</v>
      </c>
      <c r="M276" s="35">
        <v>1013.920699</v>
      </c>
      <c r="N276" s="37">
        <f t="shared" si="51"/>
        <v>263.09644700000001</v>
      </c>
      <c r="O276" s="35">
        <v>750.824252</v>
      </c>
      <c r="P276" s="38">
        <v>165</v>
      </c>
      <c r="Q276" s="38">
        <v>0</v>
      </c>
      <c r="R276" s="39">
        <f t="shared" si="52"/>
        <v>165</v>
      </c>
      <c r="S276" s="38"/>
      <c r="T276" s="40">
        <v>645</v>
      </c>
    </row>
    <row r="277" spans="2:20" ht="15.6" x14ac:dyDescent="0.3">
      <c r="B277" s="59">
        <f t="shared" si="53"/>
        <v>9</v>
      </c>
      <c r="C277" s="59" t="s">
        <v>443</v>
      </c>
      <c r="D277" s="33" t="s">
        <v>444</v>
      </c>
      <c r="E277" s="34">
        <v>45107</v>
      </c>
      <c r="F277" s="35">
        <f>100*G277</f>
        <v>1000</v>
      </c>
      <c r="G277" s="36">
        <v>10</v>
      </c>
      <c r="H277" s="37">
        <f t="shared" si="50"/>
        <v>100</v>
      </c>
      <c r="I277" s="35">
        <v>12496.987999999999</v>
      </c>
      <c r="J277" s="35">
        <v>25494.074000000001</v>
      </c>
      <c r="K277" s="35">
        <v>19891.361000000001</v>
      </c>
      <c r="L277" s="35">
        <v>1024.827</v>
      </c>
      <c r="M277" s="35">
        <v>786.57600000000002</v>
      </c>
      <c r="N277" s="37">
        <f t="shared" si="51"/>
        <v>225.76200000000006</v>
      </c>
      <c r="O277" s="35">
        <v>560.81399999999996</v>
      </c>
      <c r="P277" s="38">
        <v>10</v>
      </c>
      <c r="Q277" s="38">
        <v>0</v>
      </c>
      <c r="R277" s="39">
        <f t="shared" si="52"/>
        <v>10</v>
      </c>
      <c r="S277" s="38"/>
      <c r="T277" s="40">
        <v>2991</v>
      </c>
    </row>
    <row r="278" spans="2:20" ht="15.6" x14ac:dyDescent="0.3">
      <c r="B278" s="59">
        <f t="shared" si="53"/>
        <v>10</v>
      </c>
      <c r="C278" s="59" t="s">
        <v>445</v>
      </c>
      <c r="D278" s="33" t="s">
        <v>446</v>
      </c>
      <c r="E278" s="34">
        <v>45107</v>
      </c>
      <c r="F278" s="35">
        <f>10*G278</f>
        <v>100</v>
      </c>
      <c r="G278" s="36">
        <v>10</v>
      </c>
      <c r="H278" s="37">
        <f t="shared" si="50"/>
        <v>10</v>
      </c>
      <c r="I278" s="35">
        <v>13818.226264000001</v>
      </c>
      <c r="J278" s="35">
        <v>34696.952888</v>
      </c>
      <c r="K278" s="35">
        <v>37672.807610000003</v>
      </c>
      <c r="L278" s="35">
        <v>1267.1543650000001</v>
      </c>
      <c r="M278" s="35">
        <v>1742.3952730000001</v>
      </c>
      <c r="N278" s="37">
        <f t="shared" si="51"/>
        <v>280.47590600000012</v>
      </c>
      <c r="O278" s="35">
        <v>1461.919367</v>
      </c>
      <c r="P278" s="38">
        <v>115</v>
      </c>
      <c r="Q278" s="38">
        <v>0</v>
      </c>
      <c r="R278" s="39">
        <f t="shared" si="52"/>
        <v>115</v>
      </c>
      <c r="S278" s="38"/>
      <c r="T278" s="40">
        <v>790</v>
      </c>
    </row>
    <row r="279" spans="2:20" ht="15.6" x14ac:dyDescent="0.3">
      <c r="B279" s="59">
        <f t="shared" si="53"/>
        <v>11</v>
      </c>
      <c r="C279" s="59" t="s">
        <v>447</v>
      </c>
      <c r="D279" s="33" t="s">
        <v>448</v>
      </c>
      <c r="E279" s="34">
        <v>45107</v>
      </c>
      <c r="F279" s="35">
        <v>3994.0902599999999</v>
      </c>
      <c r="G279" s="36">
        <v>10</v>
      </c>
      <c r="H279" s="37">
        <f t="shared" si="50"/>
        <v>399.40902599999998</v>
      </c>
      <c r="I279" s="35">
        <v>36685.881999999998</v>
      </c>
      <c r="J279" s="35">
        <v>76912.510999999999</v>
      </c>
      <c r="K279" s="35">
        <v>57171.940999999999</v>
      </c>
      <c r="L279" s="35">
        <v>1991.0119999999999</v>
      </c>
      <c r="M279" s="35">
        <v>9775.6910000000007</v>
      </c>
      <c r="N279" s="37">
        <f t="shared" si="51"/>
        <v>806.23300000000017</v>
      </c>
      <c r="O279" s="35">
        <v>8969.4580000000005</v>
      </c>
      <c r="P279" s="38">
        <f>20.5+88.8</f>
        <v>109.3</v>
      </c>
      <c r="Q279" s="38">
        <v>0</v>
      </c>
      <c r="R279" s="39">
        <f t="shared" si="52"/>
        <v>109.3</v>
      </c>
      <c r="S279" s="38"/>
      <c r="T279" s="40">
        <v>1136</v>
      </c>
    </row>
    <row r="280" spans="2:20" ht="15.6" x14ac:dyDescent="0.3">
      <c r="B280" s="59">
        <f t="shared" si="53"/>
        <v>12</v>
      </c>
      <c r="C280" s="59" t="s">
        <v>449</v>
      </c>
      <c r="D280" s="45" t="s">
        <v>450</v>
      </c>
      <c r="E280" s="34">
        <v>45107</v>
      </c>
      <c r="F280" s="35">
        <f>30*G280</f>
        <v>300</v>
      </c>
      <c r="G280" s="36">
        <v>10</v>
      </c>
      <c r="H280" s="37">
        <f t="shared" si="50"/>
        <v>30</v>
      </c>
      <c r="I280" s="35">
        <v>44646.520777999998</v>
      </c>
      <c r="J280" s="35">
        <v>107773.932784</v>
      </c>
      <c r="K280" s="35">
        <v>77696.979894000004</v>
      </c>
      <c r="L280" s="35">
        <v>5074.371862</v>
      </c>
      <c r="M280" s="35">
        <v>1594.8075470000001</v>
      </c>
      <c r="N280" s="37">
        <f t="shared" si="51"/>
        <v>1008.7128280000001</v>
      </c>
      <c r="O280" s="35">
        <v>586.09471900000005</v>
      </c>
      <c r="P280" s="38">
        <v>0</v>
      </c>
      <c r="Q280" s="38">
        <v>0</v>
      </c>
      <c r="R280" s="39">
        <f t="shared" si="52"/>
        <v>0</v>
      </c>
      <c r="S280" s="38"/>
      <c r="T280" s="40">
        <v>1396</v>
      </c>
    </row>
    <row r="281" spans="2:20" ht="15.6" x14ac:dyDescent="0.3">
      <c r="B281" s="59">
        <f t="shared" si="53"/>
        <v>13</v>
      </c>
      <c r="C281" s="59" t="s">
        <v>451</v>
      </c>
      <c r="D281" s="33" t="s">
        <v>452</v>
      </c>
      <c r="E281" s="34">
        <v>45107</v>
      </c>
      <c r="F281" s="35">
        <f>740.059458*G281</f>
        <v>7400.594579999999</v>
      </c>
      <c r="G281" s="36">
        <v>10</v>
      </c>
      <c r="H281" s="37">
        <f t="shared" si="50"/>
        <v>740.05945799999995</v>
      </c>
      <c r="I281" s="35">
        <v>40071.377</v>
      </c>
      <c r="J281" s="35">
        <v>123465.939</v>
      </c>
      <c r="K281" s="35">
        <v>111967.61199999999</v>
      </c>
      <c r="L281" s="35">
        <v>5347.5429999999997</v>
      </c>
      <c r="M281" s="35">
        <v>5949.3540000000003</v>
      </c>
      <c r="N281" s="37">
        <f t="shared" si="51"/>
        <v>1963.3350000000005</v>
      </c>
      <c r="O281" s="35">
        <v>3986.0189999999998</v>
      </c>
      <c r="P281" s="38">
        <v>0</v>
      </c>
      <c r="Q281" s="38">
        <f>20</f>
        <v>20</v>
      </c>
      <c r="R281" s="39">
        <f t="shared" si="52"/>
        <v>20</v>
      </c>
      <c r="S281" s="38"/>
      <c r="T281" s="40">
        <v>7394</v>
      </c>
    </row>
    <row r="282" spans="2:20" ht="15.6" x14ac:dyDescent="0.3">
      <c r="B282" s="59">
        <f t="shared" si="53"/>
        <v>14</v>
      </c>
      <c r="C282" s="59" t="s">
        <v>453</v>
      </c>
      <c r="D282" s="33" t="s">
        <v>454</v>
      </c>
      <c r="E282" s="34">
        <v>45107</v>
      </c>
      <c r="F282" s="35">
        <f>32.6356*G282</f>
        <v>326.35599999999999</v>
      </c>
      <c r="G282" s="36">
        <v>10</v>
      </c>
      <c r="H282" s="37">
        <f t="shared" si="50"/>
        <v>32.635599999999997</v>
      </c>
      <c r="I282" s="35">
        <v>1674.6164020000001</v>
      </c>
      <c r="J282" s="35">
        <v>2618.2218750000002</v>
      </c>
      <c r="K282" s="35">
        <v>4285.864399</v>
      </c>
      <c r="L282" s="35">
        <v>132.88753700000001</v>
      </c>
      <c r="M282" s="35">
        <v>-422.14671700000002</v>
      </c>
      <c r="N282" s="37">
        <f t="shared" si="51"/>
        <v>29.111978999999963</v>
      </c>
      <c r="O282" s="35">
        <v>-451.25869599999999</v>
      </c>
      <c r="P282" s="38">
        <v>0</v>
      </c>
      <c r="Q282" s="38">
        <v>0</v>
      </c>
      <c r="R282" s="39">
        <f t="shared" si="52"/>
        <v>0</v>
      </c>
      <c r="S282" s="38"/>
      <c r="T282" s="40">
        <v>4740</v>
      </c>
    </row>
    <row r="283" spans="2:20" ht="15.6" x14ac:dyDescent="0.3">
      <c r="B283" s="59">
        <f t="shared" si="53"/>
        <v>15</v>
      </c>
      <c r="C283" s="59" t="s">
        <v>455</v>
      </c>
      <c r="D283" s="45" t="s">
        <v>456</v>
      </c>
      <c r="E283" s="34">
        <v>45107</v>
      </c>
      <c r="F283" s="35">
        <f>12.996304*G283</f>
        <v>129.96304000000001</v>
      </c>
      <c r="G283" s="36">
        <v>10</v>
      </c>
      <c r="H283" s="37">
        <f t="shared" si="50"/>
        <v>12.996304</v>
      </c>
      <c r="I283" s="35">
        <v>329.81697400000002</v>
      </c>
      <c r="J283" s="35">
        <v>551.08406300000001</v>
      </c>
      <c r="K283" s="35">
        <v>648.20394099999999</v>
      </c>
      <c r="L283" s="35">
        <v>21.521554999999999</v>
      </c>
      <c r="M283" s="35">
        <v>25.227443999999998</v>
      </c>
      <c r="N283" s="37">
        <f t="shared" si="51"/>
        <v>6.2930700000000002</v>
      </c>
      <c r="O283" s="35">
        <v>18.934373999999998</v>
      </c>
      <c r="P283" s="38">
        <v>0</v>
      </c>
      <c r="Q283" s="38">
        <v>0</v>
      </c>
      <c r="R283" s="39">
        <f t="shared" si="52"/>
        <v>0</v>
      </c>
      <c r="S283" s="38"/>
      <c r="T283" s="40">
        <v>817</v>
      </c>
    </row>
    <row r="284" spans="2:20" ht="15.6" x14ac:dyDescent="0.3">
      <c r="B284" s="59">
        <f t="shared" si="53"/>
        <v>16</v>
      </c>
      <c r="C284" s="59" t="s">
        <v>457</v>
      </c>
      <c r="D284" s="33" t="s">
        <v>458</v>
      </c>
      <c r="E284" s="34">
        <v>45107</v>
      </c>
      <c r="F284" s="35">
        <v>12</v>
      </c>
      <c r="G284" s="36">
        <v>10</v>
      </c>
      <c r="H284" s="37">
        <f t="shared" si="50"/>
        <v>1.2</v>
      </c>
      <c r="I284" s="35">
        <v>557.23564499999998</v>
      </c>
      <c r="J284" s="35">
        <v>573.08601899999996</v>
      </c>
      <c r="K284" s="35">
        <v>32.732522000000003</v>
      </c>
      <c r="L284" s="35">
        <v>1.3126000000000001E-2</v>
      </c>
      <c r="M284" s="35">
        <v>30.195993000000001</v>
      </c>
      <c r="N284" s="37">
        <f t="shared" si="51"/>
        <v>6.8025400000000005</v>
      </c>
      <c r="O284" s="35">
        <v>23.393453000000001</v>
      </c>
      <c r="P284" s="38">
        <v>20</v>
      </c>
      <c r="Q284" s="38">
        <v>0</v>
      </c>
      <c r="R284" s="39">
        <f t="shared" si="52"/>
        <v>20</v>
      </c>
      <c r="S284" s="38"/>
      <c r="T284" s="40">
        <v>970</v>
      </c>
    </row>
    <row r="285" spans="2:20" ht="15.6" x14ac:dyDescent="0.3">
      <c r="B285" s="59">
        <f t="shared" si="53"/>
        <v>17</v>
      </c>
      <c r="C285" s="59" t="s">
        <v>459</v>
      </c>
      <c r="D285" s="45" t="s">
        <v>460</v>
      </c>
      <c r="E285" s="34">
        <v>45107</v>
      </c>
      <c r="F285" s="35">
        <f>10.625852*G285</f>
        <v>106.25852</v>
      </c>
      <c r="G285" s="36">
        <v>10</v>
      </c>
      <c r="H285" s="37">
        <f t="shared" si="50"/>
        <v>10.625852</v>
      </c>
      <c r="I285" s="35">
        <v>-106.742958</v>
      </c>
      <c r="J285" s="35">
        <v>876.41978700000004</v>
      </c>
      <c r="K285" s="35">
        <v>160.60326699999999</v>
      </c>
      <c r="L285" s="35">
        <v>45.016862000000003</v>
      </c>
      <c r="M285" s="35">
        <v>17.308897000000002</v>
      </c>
      <c r="N285" s="37">
        <f t="shared" si="51"/>
        <v>-3.7579179999999965</v>
      </c>
      <c r="O285" s="35">
        <v>21.066814999999998</v>
      </c>
      <c r="P285" s="38">
        <v>0</v>
      </c>
      <c r="Q285" s="38">
        <v>0</v>
      </c>
      <c r="R285" s="39">
        <f t="shared" si="52"/>
        <v>0</v>
      </c>
      <c r="S285" s="38"/>
      <c r="T285" s="40">
        <v>1013</v>
      </c>
    </row>
    <row r="286" spans="2:20" ht="15.6" x14ac:dyDescent="0.3">
      <c r="B286" s="59">
        <f t="shared" si="53"/>
        <v>18</v>
      </c>
      <c r="C286" s="59" t="s">
        <v>461</v>
      </c>
      <c r="D286" s="33" t="s">
        <v>462</v>
      </c>
      <c r="E286" s="34">
        <v>45107</v>
      </c>
      <c r="F286" s="35">
        <v>14014.468639999999</v>
      </c>
      <c r="G286" s="36">
        <v>10</v>
      </c>
      <c r="H286" s="37">
        <f t="shared" si="50"/>
        <v>1401.446864</v>
      </c>
      <c r="I286" s="35">
        <v>43806.406000000003</v>
      </c>
      <c r="J286" s="35">
        <v>125244.72</v>
      </c>
      <c r="K286" s="35">
        <v>119200.29300000001</v>
      </c>
      <c r="L286" s="35">
        <v>5527.5360000000001</v>
      </c>
      <c r="M286" s="35">
        <v>21583.853999999999</v>
      </c>
      <c r="N286" s="37">
        <f t="shared" si="51"/>
        <v>1412.0089999999982</v>
      </c>
      <c r="O286" s="35">
        <v>20171.845000000001</v>
      </c>
      <c r="P286" s="38">
        <f>30+20</f>
        <v>50</v>
      </c>
      <c r="Q286" s="38">
        <f>50</f>
        <v>50</v>
      </c>
      <c r="R286" s="39">
        <f t="shared" si="52"/>
        <v>100</v>
      </c>
      <c r="S286" s="38"/>
      <c r="T286" s="40">
        <v>5997</v>
      </c>
    </row>
    <row r="287" spans="2:20" ht="15.6" x14ac:dyDescent="0.3">
      <c r="B287" s="59">
        <f t="shared" si="53"/>
        <v>19</v>
      </c>
      <c r="C287" s="59" t="s">
        <v>463</v>
      </c>
      <c r="D287" s="33" t="s">
        <v>464</v>
      </c>
      <c r="E287" s="34">
        <v>45107</v>
      </c>
      <c r="F287" s="35">
        <f>9.675*G287</f>
        <v>96.75</v>
      </c>
      <c r="G287" s="36">
        <v>10</v>
      </c>
      <c r="H287" s="37">
        <f t="shared" si="50"/>
        <v>9.6750000000000007</v>
      </c>
      <c r="I287" s="35">
        <v>158.30694500000001</v>
      </c>
      <c r="J287" s="35">
        <v>334.60803099999998</v>
      </c>
      <c r="K287" s="35">
        <v>611.48944100000006</v>
      </c>
      <c r="L287" s="35">
        <v>12.832765999999999</v>
      </c>
      <c r="M287" s="35">
        <v>37.130960000000002</v>
      </c>
      <c r="N287" s="37">
        <f t="shared" si="51"/>
        <v>15.057055000000002</v>
      </c>
      <c r="O287" s="35">
        <v>22.073905</v>
      </c>
      <c r="P287" s="38">
        <v>10</v>
      </c>
      <c r="Q287" s="38">
        <v>0</v>
      </c>
      <c r="R287" s="39">
        <f t="shared" si="52"/>
        <v>10</v>
      </c>
      <c r="S287" s="38"/>
      <c r="T287" s="40">
        <v>1262</v>
      </c>
    </row>
    <row r="288" spans="2:20" ht="15.6" x14ac:dyDescent="0.3">
      <c r="B288" s="59">
        <f t="shared" si="53"/>
        <v>20</v>
      </c>
      <c r="C288" s="59" t="s">
        <v>465</v>
      </c>
      <c r="D288" s="33" t="s">
        <v>466</v>
      </c>
      <c r="E288" s="34">
        <v>45107</v>
      </c>
      <c r="F288" s="35">
        <f>1.2275*G288</f>
        <v>12.275</v>
      </c>
      <c r="G288" s="36">
        <v>10</v>
      </c>
      <c r="H288" s="37">
        <f t="shared" si="50"/>
        <v>1.2275</v>
      </c>
      <c r="I288" s="35">
        <v>919.15750400000002</v>
      </c>
      <c r="J288" s="35">
        <v>966.34071100000006</v>
      </c>
      <c r="K288" s="35">
        <v>27.1035</v>
      </c>
      <c r="L288" s="35">
        <v>3.784E-3</v>
      </c>
      <c r="M288" s="35">
        <v>-4.5283860000000002</v>
      </c>
      <c r="N288" s="37">
        <f t="shared" si="51"/>
        <v>-0.61337100000000033</v>
      </c>
      <c r="O288" s="35">
        <v>-3.9150149999999999</v>
      </c>
      <c r="P288" s="38">
        <v>0</v>
      </c>
      <c r="Q288" s="38">
        <v>0</v>
      </c>
      <c r="R288" s="39">
        <f t="shared" si="52"/>
        <v>0</v>
      </c>
      <c r="S288" s="38"/>
      <c r="T288" s="40">
        <v>487</v>
      </c>
    </row>
    <row r="289" spans="2:20" ht="15.6" x14ac:dyDescent="0.3">
      <c r="B289" s="59">
        <f t="shared" si="53"/>
        <v>21</v>
      </c>
      <c r="C289" s="59" t="s">
        <v>467</v>
      </c>
      <c r="D289" s="33" t="s">
        <v>468</v>
      </c>
      <c r="E289" s="34">
        <v>45107</v>
      </c>
      <c r="F289" s="35">
        <f>50.911011*G289</f>
        <v>509.11011000000002</v>
      </c>
      <c r="G289" s="36">
        <v>10</v>
      </c>
      <c r="H289" s="37">
        <f t="shared" si="50"/>
        <v>50.911011000000002</v>
      </c>
      <c r="I289" s="35">
        <v>7889.4602699999996</v>
      </c>
      <c r="J289" s="35">
        <v>22648.857226</v>
      </c>
      <c r="K289" s="35">
        <v>28208.445060999999</v>
      </c>
      <c r="L289" s="35">
        <v>1249.472624</v>
      </c>
      <c r="M289" s="35">
        <v>2449.933411</v>
      </c>
      <c r="N289" s="37">
        <f t="shared" si="51"/>
        <v>448.42193300000008</v>
      </c>
      <c r="O289" s="35">
        <v>2001.5114779999999</v>
      </c>
      <c r="P289" s="38">
        <v>30</v>
      </c>
      <c r="Q289" s="38">
        <v>0</v>
      </c>
      <c r="R289" s="39">
        <f t="shared" si="52"/>
        <v>30</v>
      </c>
      <c r="S289" s="38"/>
      <c r="T289" s="40">
        <v>1360</v>
      </c>
    </row>
    <row r="290" spans="2:20" ht="15.6" x14ac:dyDescent="0.3">
      <c r="B290" s="59">
        <f t="shared" si="53"/>
        <v>22</v>
      </c>
      <c r="C290" s="59" t="s">
        <v>469</v>
      </c>
      <c r="D290" s="33" t="s">
        <v>470</v>
      </c>
      <c r="E290" s="34">
        <v>45107</v>
      </c>
      <c r="F290" s="35">
        <f>30.30258*G290</f>
        <v>303.0258</v>
      </c>
      <c r="G290" s="36">
        <v>10</v>
      </c>
      <c r="H290" s="37">
        <f t="shared" si="50"/>
        <v>30.302579999999999</v>
      </c>
      <c r="I290" s="35">
        <v>992.90853900000002</v>
      </c>
      <c r="J290" s="35">
        <v>1039.469437</v>
      </c>
      <c r="K290" s="35">
        <v>0</v>
      </c>
      <c r="L290" s="35">
        <v>1.7488E-2</v>
      </c>
      <c r="M290" s="35">
        <v>55.469127999999998</v>
      </c>
      <c r="N290" s="37">
        <f t="shared" si="51"/>
        <v>11.904837000000001</v>
      </c>
      <c r="O290" s="35">
        <v>43.564290999999997</v>
      </c>
      <c r="P290" s="38">
        <v>0</v>
      </c>
      <c r="Q290" s="38">
        <v>0</v>
      </c>
      <c r="R290" s="39">
        <f t="shared" si="52"/>
        <v>0</v>
      </c>
      <c r="S290" s="38"/>
      <c r="T290" s="40">
        <v>2208</v>
      </c>
    </row>
    <row r="291" spans="2:20" ht="15.6" x14ac:dyDescent="0.3">
      <c r="B291" s="59">
        <f t="shared" si="53"/>
        <v>23</v>
      </c>
      <c r="C291" s="59" t="s">
        <v>471</v>
      </c>
      <c r="D291" s="33" t="s">
        <v>472</v>
      </c>
      <c r="E291" s="34">
        <v>45107</v>
      </c>
      <c r="F291" s="35">
        <v>2992.9645599999999</v>
      </c>
      <c r="G291" s="36">
        <v>10</v>
      </c>
      <c r="H291" s="37">
        <f t="shared" si="50"/>
        <v>299.29645599999998</v>
      </c>
      <c r="I291" s="35">
        <v>26394.796999999999</v>
      </c>
      <c r="J291" s="35">
        <v>47886.218000000001</v>
      </c>
      <c r="K291" s="35">
        <v>42046.555999999997</v>
      </c>
      <c r="L291" s="35">
        <v>1667.308</v>
      </c>
      <c r="M291" s="35">
        <v>3463.5920000000001</v>
      </c>
      <c r="N291" s="37">
        <f t="shared" si="51"/>
        <v>1056.33</v>
      </c>
      <c r="O291" s="35">
        <v>2407.2620000000002</v>
      </c>
      <c r="P291" s="38">
        <v>0</v>
      </c>
      <c r="Q291" s="38">
        <v>0</v>
      </c>
      <c r="R291" s="39">
        <f t="shared" si="52"/>
        <v>0</v>
      </c>
      <c r="S291" s="38"/>
      <c r="T291" s="40">
        <v>4632</v>
      </c>
    </row>
    <row r="292" spans="2:20" ht="15.6" x14ac:dyDescent="0.3">
      <c r="B292" s="59">
        <f t="shared" si="53"/>
        <v>24</v>
      </c>
      <c r="C292" s="59" t="s">
        <v>473</v>
      </c>
      <c r="D292" s="33" t="s">
        <v>474</v>
      </c>
      <c r="E292" s="34">
        <v>45107</v>
      </c>
      <c r="F292" s="35">
        <f>30*G292</f>
        <v>300</v>
      </c>
      <c r="G292" s="36">
        <v>10</v>
      </c>
      <c r="H292" s="37">
        <f t="shared" si="50"/>
        <v>30</v>
      </c>
      <c r="I292" s="35">
        <v>13754.66849</v>
      </c>
      <c r="J292" s="35">
        <v>51370.944909999998</v>
      </c>
      <c r="K292" s="35">
        <v>54627.481688</v>
      </c>
      <c r="L292" s="35">
        <v>3952.9555220000002</v>
      </c>
      <c r="M292" s="35">
        <v>1924.6337309999999</v>
      </c>
      <c r="N292" s="37">
        <f t="shared" si="51"/>
        <v>723.48492399999986</v>
      </c>
      <c r="O292" s="35">
        <v>1201.148807</v>
      </c>
      <c r="P292" s="38">
        <v>0</v>
      </c>
      <c r="Q292" s="38">
        <f>60</f>
        <v>60</v>
      </c>
      <c r="R292" s="39">
        <f t="shared" si="52"/>
        <v>60</v>
      </c>
      <c r="S292" s="38"/>
      <c r="T292" s="40">
        <v>142</v>
      </c>
    </row>
    <row r="293" spans="2:20" ht="15.6" x14ac:dyDescent="0.3">
      <c r="B293" s="59">
        <f t="shared" si="53"/>
        <v>25</v>
      </c>
      <c r="C293" s="59" t="s">
        <v>475</v>
      </c>
      <c r="D293" s="33" t="s">
        <v>476</v>
      </c>
      <c r="E293" s="34">
        <v>45107</v>
      </c>
      <c r="F293" s="35">
        <v>675</v>
      </c>
      <c r="G293" s="36">
        <v>10</v>
      </c>
      <c r="H293" s="37">
        <f t="shared" si="50"/>
        <v>67.5</v>
      </c>
      <c r="I293" s="35">
        <v>17215.47</v>
      </c>
      <c r="J293" s="35">
        <v>55241.21</v>
      </c>
      <c r="K293" s="35">
        <v>60105.873</v>
      </c>
      <c r="L293" s="35">
        <v>3198.8209999999999</v>
      </c>
      <c r="M293" s="35">
        <v>3490.6480000000001</v>
      </c>
      <c r="N293" s="37">
        <f t="shared" si="51"/>
        <v>839.45900000000029</v>
      </c>
      <c r="O293" s="35">
        <v>2651.1889999999999</v>
      </c>
      <c r="P293" s="38">
        <v>0</v>
      </c>
      <c r="Q293" s="38">
        <v>0</v>
      </c>
      <c r="R293" s="39">
        <f t="shared" si="52"/>
        <v>0</v>
      </c>
      <c r="S293" s="38"/>
      <c r="T293" s="40">
        <v>1334</v>
      </c>
    </row>
    <row r="294" spans="2:20" ht="15.6" x14ac:dyDescent="0.3">
      <c r="B294" s="59"/>
      <c r="C294" s="59" t="s">
        <v>477</v>
      </c>
      <c r="D294" s="33" t="s">
        <v>478</v>
      </c>
      <c r="E294" s="34">
        <v>45107</v>
      </c>
      <c r="F294" s="35">
        <v>275</v>
      </c>
      <c r="G294" s="36">
        <v>10</v>
      </c>
      <c r="H294" s="37">
        <f t="shared" si="50"/>
        <v>27.5</v>
      </c>
      <c r="I294" s="35"/>
      <c r="J294" s="35"/>
      <c r="K294" s="35"/>
      <c r="L294" s="35"/>
      <c r="M294" s="35"/>
      <c r="N294" s="37">
        <f t="shared" si="51"/>
        <v>0</v>
      </c>
      <c r="O294" s="35"/>
      <c r="P294" s="38">
        <v>1.82</v>
      </c>
      <c r="Q294" s="38">
        <v>0</v>
      </c>
      <c r="R294" s="39">
        <f t="shared" ref="R294" si="54">SUM(P294:Q294)</f>
        <v>1.82</v>
      </c>
      <c r="S294" s="38"/>
      <c r="T294" s="40"/>
    </row>
    <row r="295" spans="2:20" ht="15.6" x14ac:dyDescent="0.3">
      <c r="B295" s="59">
        <f>+B293+1</f>
        <v>26</v>
      </c>
      <c r="C295" s="59" t="s">
        <v>479</v>
      </c>
      <c r="D295" s="33" t="s">
        <v>480</v>
      </c>
      <c r="E295" s="34">
        <v>45107</v>
      </c>
      <c r="F295" s="35">
        <f>240.119029*G295</f>
        <v>2401.19029</v>
      </c>
      <c r="G295" s="36">
        <v>10</v>
      </c>
      <c r="H295" s="37">
        <f t="shared" si="50"/>
        <v>240.11902900000001</v>
      </c>
      <c r="I295" s="35">
        <v>20708.123391000001</v>
      </c>
      <c r="J295" s="35">
        <v>69845.761197999993</v>
      </c>
      <c r="K295" s="35">
        <v>67629.278772000005</v>
      </c>
      <c r="L295" s="35">
        <v>5418.8147799999997</v>
      </c>
      <c r="M295" s="35">
        <v>-86.912713999999994</v>
      </c>
      <c r="N295" s="37">
        <f t="shared" si="51"/>
        <v>912.01499400000012</v>
      </c>
      <c r="O295" s="35">
        <v>-998.92770800000005</v>
      </c>
      <c r="P295" s="38">
        <v>0</v>
      </c>
      <c r="Q295" s="38">
        <v>0</v>
      </c>
      <c r="R295" s="39">
        <f t="shared" si="52"/>
        <v>0</v>
      </c>
      <c r="S295" s="38"/>
      <c r="T295" s="40">
        <v>9221</v>
      </c>
    </row>
    <row r="296" spans="2:20" ht="15.6" x14ac:dyDescent="0.3">
      <c r="B296" s="59">
        <f t="shared" si="53"/>
        <v>27</v>
      </c>
      <c r="C296" s="59" t="s">
        <v>481</v>
      </c>
      <c r="D296" s="33" t="s">
        <v>482</v>
      </c>
      <c r="E296" s="34">
        <v>45107</v>
      </c>
      <c r="F296" s="35">
        <v>3515.9989999999998</v>
      </c>
      <c r="G296" s="36">
        <v>10</v>
      </c>
      <c r="H296" s="37">
        <f t="shared" si="50"/>
        <v>351.59989999999999</v>
      </c>
      <c r="I296" s="35">
        <v>89764.119000000006</v>
      </c>
      <c r="J296" s="35">
        <v>170285.71</v>
      </c>
      <c r="K296" s="35">
        <v>141756.46900000001</v>
      </c>
      <c r="L296" s="35">
        <v>6927.6090000000004</v>
      </c>
      <c r="M296" s="35">
        <v>15406.441999999999</v>
      </c>
      <c r="N296" s="37">
        <f t="shared" si="51"/>
        <v>3240.4199999999983</v>
      </c>
      <c r="O296" s="35">
        <v>12166.022000000001</v>
      </c>
      <c r="P296" s="38">
        <v>50</v>
      </c>
      <c r="Q296" s="38">
        <v>0</v>
      </c>
      <c r="R296" s="39">
        <f t="shared" si="52"/>
        <v>50</v>
      </c>
      <c r="S296" s="38"/>
      <c r="T296" s="40">
        <v>13861</v>
      </c>
    </row>
    <row r="297" spans="2:20" ht="15.6" x14ac:dyDescent="0.3">
      <c r="B297" s="59">
        <f t="shared" si="53"/>
        <v>28</v>
      </c>
      <c r="C297" s="59" t="s">
        <v>483</v>
      </c>
      <c r="D297" s="33" t="s">
        <v>484</v>
      </c>
      <c r="E297" s="34">
        <v>45107</v>
      </c>
      <c r="F297" s="35">
        <f>49.2926*G297</f>
        <v>492.92599999999999</v>
      </c>
      <c r="G297" s="36">
        <v>10</v>
      </c>
      <c r="H297" s="37">
        <f t="shared" si="50"/>
        <v>49.2926</v>
      </c>
      <c r="I297" s="35">
        <v>303.99425100000002</v>
      </c>
      <c r="J297" s="35">
        <v>3181.9497110000002</v>
      </c>
      <c r="K297" s="35">
        <v>870.96347700000001</v>
      </c>
      <c r="L297" s="35">
        <v>1.7920700000000001</v>
      </c>
      <c r="M297" s="35">
        <v>94.11112</v>
      </c>
      <c r="N297" s="37">
        <f t="shared" si="51"/>
        <v>16.266056000000006</v>
      </c>
      <c r="O297" s="35">
        <v>77.845063999999994</v>
      </c>
      <c r="P297" s="38">
        <v>0</v>
      </c>
      <c r="Q297" s="38">
        <v>0</v>
      </c>
      <c r="R297" s="39">
        <f t="shared" si="52"/>
        <v>0</v>
      </c>
      <c r="S297" s="38"/>
      <c r="T297" s="40">
        <v>778</v>
      </c>
    </row>
    <row r="298" spans="2:20" ht="15.6" x14ac:dyDescent="0.3">
      <c r="B298" s="59">
        <f t="shared" si="53"/>
        <v>29</v>
      </c>
      <c r="C298" s="59" t="s">
        <v>485</v>
      </c>
      <c r="D298" s="33" t="s">
        <v>486</v>
      </c>
      <c r="E298" s="34">
        <v>45107</v>
      </c>
      <c r="F298" s="35">
        <f>30.810933*G298</f>
        <v>308.10933</v>
      </c>
      <c r="G298" s="36">
        <v>10</v>
      </c>
      <c r="H298" s="37">
        <f t="shared" si="50"/>
        <v>30.810932999999999</v>
      </c>
      <c r="I298" s="35">
        <v>10112.584568</v>
      </c>
      <c r="J298" s="35">
        <v>36534.207325000003</v>
      </c>
      <c r="K298" s="35">
        <v>32682.288168999999</v>
      </c>
      <c r="L298" s="35">
        <v>2448.9016040000001</v>
      </c>
      <c r="M298" s="35">
        <v>465.37123200000002</v>
      </c>
      <c r="N298" s="37">
        <f t="shared" si="51"/>
        <v>262.25876300000004</v>
      </c>
      <c r="O298" s="35">
        <v>203.112469</v>
      </c>
      <c r="P298" s="38">
        <v>0</v>
      </c>
      <c r="Q298" s="38">
        <v>0</v>
      </c>
      <c r="R298" s="39">
        <f t="shared" si="52"/>
        <v>0</v>
      </c>
      <c r="S298" s="38"/>
      <c r="T298" s="40">
        <v>1548</v>
      </c>
    </row>
    <row r="299" spans="2:20" ht="15.6" x14ac:dyDescent="0.3">
      <c r="B299" s="59">
        <f t="shared" si="53"/>
        <v>30</v>
      </c>
      <c r="C299" s="59" t="s">
        <v>487</v>
      </c>
      <c r="D299" s="33" t="s">
        <v>488</v>
      </c>
      <c r="E299" s="34">
        <v>45107</v>
      </c>
      <c r="F299" s="35">
        <f>21.689791*G299</f>
        <v>216.89791</v>
      </c>
      <c r="G299" s="36">
        <v>10</v>
      </c>
      <c r="H299" s="37">
        <f t="shared" si="50"/>
        <v>21.689791</v>
      </c>
      <c r="I299" s="35">
        <v>28238.454384000001</v>
      </c>
      <c r="J299" s="35">
        <v>75715.612599999993</v>
      </c>
      <c r="K299" s="35">
        <v>72837.269482999996</v>
      </c>
      <c r="L299" s="35">
        <v>4683.5612529999999</v>
      </c>
      <c r="M299" s="35">
        <v>4701.3328519999995</v>
      </c>
      <c r="N299" s="37">
        <f t="shared" si="51"/>
        <v>1410.1601789999995</v>
      </c>
      <c r="O299" s="35">
        <v>3291.172673</v>
      </c>
      <c r="P299" s="38">
        <v>100</v>
      </c>
      <c r="Q299" s="38">
        <v>0</v>
      </c>
      <c r="R299" s="39">
        <f t="shared" si="52"/>
        <v>100</v>
      </c>
      <c r="S299" s="38"/>
      <c r="T299" s="40">
        <v>415</v>
      </c>
    </row>
    <row r="300" spans="2:20" ht="15.6" x14ac:dyDescent="0.3">
      <c r="B300" s="59">
        <f t="shared" si="53"/>
        <v>31</v>
      </c>
      <c r="C300" s="59" t="s">
        <v>489</v>
      </c>
      <c r="D300" s="33" t="s">
        <v>490</v>
      </c>
      <c r="E300" s="34">
        <v>45107</v>
      </c>
      <c r="F300" s="35">
        <f>20.671875*G300</f>
        <v>206.71875</v>
      </c>
      <c r="G300" s="36">
        <v>10</v>
      </c>
      <c r="H300" s="37">
        <f t="shared" si="50"/>
        <v>20.671875</v>
      </c>
      <c r="I300" s="35">
        <v>27708.665870000001</v>
      </c>
      <c r="J300" s="35">
        <v>51155.637949999997</v>
      </c>
      <c r="K300" s="35">
        <v>46446.990548000002</v>
      </c>
      <c r="L300" s="35">
        <v>1984.0226259999999</v>
      </c>
      <c r="M300" s="35">
        <v>6094.8784439999999</v>
      </c>
      <c r="N300" s="37">
        <f t="shared" si="51"/>
        <v>974.09166399999958</v>
      </c>
      <c r="O300" s="35">
        <v>5120.7867800000004</v>
      </c>
      <c r="P300" s="38">
        <v>100</v>
      </c>
      <c r="Q300" s="38">
        <v>0</v>
      </c>
      <c r="R300" s="39">
        <f t="shared" si="52"/>
        <v>100</v>
      </c>
      <c r="S300" s="38"/>
      <c r="T300" s="40">
        <v>622</v>
      </c>
    </row>
    <row r="301" spans="2:20" ht="15.6" x14ac:dyDescent="0.3">
      <c r="B301" s="59">
        <f t="shared" si="53"/>
        <v>32</v>
      </c>
      <c r="C301" s="59" t="s">
        <v>491</v>
      </c>
      <c r="D301" s="33" t="s">
        <v>492</v>
      </c>
      <c r="E301" s="34">
        <v>45107</v>
      </c>
      <c r="F301" s="35">
        <f>8.64*G301</f>
        <v>86.4</v>
      </c>
      <c r="G301" s="36">
        <v>10</v>
      </c>
      <c r="H301" s="37">
        <f t="shared" si="50"/>
        <v>8.64</v>
      </c>
      <c r="I301" s="35">
        <v>943.70100000000002</v>
      </c>
      <c r="J301" s="35">
        <v>2458.085</v>
      </c>
      <c r="K301" s="35">
        <v>3309.0140000000001</v>
      </c>
      <c r="L301" s="35">
        <v>10.657999999999999</v>
      </c>
      <c r="M301" s="35">
        <v>-107.71599999999999</v>
      </c>
      <c r="N301" s="37">
        <f t="shared" si="51"/>
        <v>45.576000000000008</v>
      </c>
      <c r="O301" s="35">
        <v>-153.292</v>
      </c>
      <c r="P301" s="38">
        <v>0</v>
      </c>
      <c r="Q301" s="38">
        <v>0</v>
      </c>
      <c r="R301" s="39">
        <f t="shared" si="52"/>
        <v>0</v>
      </c>
      <c r="S301" s="38"/>
      <c r="T301" s="40">
        <v>966</v>
      </c>
    </row>
    <row r="302" spans="2:20" ht="15.6" x14ac:dyDescent="0.3">
      <c r="B302" s="59">
        <f t="shared" si="53"/>
        <v>33</v>
      </c>
      <c r="C302" s="59" t="s">
        <v>493</v>
      </c>
      <c r="D302" s="33" t="s">
        <v>494</v>
      </c>
      <c r="E302" s="34">
        <v>45107</v>
      </c>
      <c r="F302" s="35">
        <v>443.72199999999998</v>
      </c>
      <c r="G302" s="36">
        <v>10</v>
      </c>
      <c r="H302" s="37">
        <f t="shared" si="50"/>
        <v>44.372199999999999</v>
      </c>
      <c r="I302" s="35">
        <v>10797.414000000001</v>
      </c>
      <c r="J302" s="35">
        <v>21177.055</v>
      </c>
      <c r="K302" s="35">
        <v>18860.334999999999</v>
      </c>
      <c r="L302" s="35">
        <v>319.86599999999999</v>
      </c>
      <c r="M302" s="35">
        <v>-115.306</v>
      </c>
      <c r="N302" s="37">
        <f t="shared" si="51"/>
        <v>296.97200000000004</v>
      </c>
      <c r="O302" s="35">
        <v>-412.27800000000002</v>
      </c>
      <c r="P302" s="38">
        <v>10</v>
      </c>
      <c r="Q302" s="38">
        <v>10</v>
      </c>
      <c r="R302" s="39">
        <f t="shared" si="52"/>
        <v>20</v>
      </c>
      <c r="S302" s="38"/>
      <c r="T302" s="40">
        <v>742</v>
      </c>
    </row>
    <row r="303" spans="2:20" ht="15.6" x14ac:dyDescent="0.3">
      <c r="B303" s="59">
        <f t="shared" si="53"/>
        <v>34</v>
      </c>
      <c r="C303" s="59" t="s">
        <v>495</v>
      </c>
      <c r="D303" s="33" t="s">
        <v>496</v>
      </c>
      <c r="E303" s="34">
        <v>45107</v>
      </c>
      <c r="F303" s="35">
        <v>170</v>
      </c>
      <c r="G303" s="36">
        <v>10</v>
      </c>
      <c r="H303" s="37">
        <f t="shared" si="50"/>
        <v>17</v>
      </c>
      <c r="I303" s="35">
        <v>7560.7454719999996</v>
      </c>
      <c r="J303" s="35">
        <v>9981.9258730000001</v>
      </c>
      <c r="K303" s="35">
        <v>11086.916406</v>
      </c>
      <c r="L303" s="35">
        <v>53.847932</v>
      </c>
      <c r="M303" s="35">
        <v>2580.118798</v>
      </c>
      <c r="N303" s="37">
        <f t="shared" si="51"/>
        <v>191.78122900000017</v>
      </c>
      <c r="O303" s="35">
        <v>2388.3375689999998</v>
      </c>
      <c r="P303" s="38">
        <f>30+100</f>
        <v>130</v>
      </c>
      <c r="Q303" s="38">
        <v>0</v>
      </c>
      <c r="R303" s="39">
        <f t="shared" si="52"/>
        <v>130</v>
      </c>
      <c r="S303" s="38"/>
      <c r="T303" s="40">
        <v>859</v>
      </c>
    </row>
    <row r="304" spans="2:20" ht="15.6" x14ac:dyDescent="0.3">
      <c r="B304" s="59">
        <f t="shared" si="53"/>
        <v>35</v>
      </c>
      <c r="C304" s="59" t="s">
        <v>497</v>
      </c>
      <c r="D304" s="33" t="s">
        <v>498</v>
      </c>
      <c r="E304" s="34">
        <v>45107</v>
      </c>
      <c r="F304" s="35">
        <f>191.421102*G304</f>
        <v>1914.21102</v>
      </c>
      <c r="G304" s="36">
        <v>10</v>
      </c>
      <c r="H304" s="37">
        <f t="shared" si="50"/>
        <v>191.42110199999999</v>
      </c>
      <c r="I304" s="35">
        <v>15762.391065</v>
      </c>
      <c r="J304" s="35" t="e">
        <f>13628.526821+#REF!</f>
        <v>#REF!</v>
      </c>
      <c r="K304" s="35">
        <v>32317.373244999999</v>
      </c>
      <c r="L304" s="35">
        <v>815.54647399999999</v>
      </c>
      <c r="M304" s="35">
        <v>1597.287525</v>
      </c>
      <c r="N304" s="37">
        <f t="shared" si="51"/>
        <v>383.91286300000002</v>
      </c>
      <c r="O304" s="35">
        <v>1213.3746619999999</v>
      </c>
      <c r="P304" s="38">
        <v>10</v>
      </c>
      <c r="Q304" s="38">
        <v>0</v>
      </c>
      <c r="R304" s="39">
        <f t="shared" si="52"/>
        <v>10</v>
      </c>
      <c r="S304" s="38"/>
      <c r="T304" s="40">
        <v>3208</v>
      </c>
    </row>
    <row r="305" spans="2:20" ht="15.6" x14ac:dyDescent="0.3">
      <c r="B305" s="61"/>
      <c r="C305" s="61"/>
      <c r="D305" s="63"/>
      <c r="E305" s="64"/>
      <c r="F305" s="65"/>
      <c r="G305" s="42"/>
      <c r="H305" s="66"/>
      <c r="I305" s="65"/>
      <c r="J305" s="65"/>
      <c r="K305" s="65"/>
      <c r="L305" s="65"/>
      <c r="M305" s="65"/>
      <c r="N305" s="66"/>
      <c r="O305" s="65"/>
      <c r="P305" s="67"/>
      <c r="Q305" s="67"/>
      <c r="R305" s="68"/>
      <c r="S305" s="67"/>
      <c r="T305" s="69"/>
    </row>
    <row r="306" spans="2:20" ht="18" x14ac:dyDescent="0.35">
      <c r="B306" s="27"/>
      <c r="C306" s="27"/>
      <c r="D306" s="55" t="s">
        <v>43</v>
      </c>
      <c r="E306" s="27"/>
      <c r="F306" s="27"/>
      <c r="G306" s="42"/>
      <c r="H306" s="43"/>
      <c r="I306" s="29"/>
      <c r="J306" s="29"/>
      <c r="K306" s="29"/>
      <c r="L306" s="29"/>
      <c r="M306" s="29"/>
      <c r="N306" s="44"/>
      <c r="O306" s="29"/>
      <c r="P306" s="29"/>
      <c r="Q306" s="29"/>
      <c r="R306" s="44"/>
      <c r="S306" s="29"/>
      <c r="T306" s="29"/>
    </row>
    <row r="307" spans="2:20" ht="15.6" x14ac:dyDescent="0.3">
      <c r="B307" s="59">
        <v>1</v>
      </c>
      <c r="C307" s="59" t="s">
        <v>499</v>
      </c>
      <c r="D307" s="33" t="s">
        <v>500</v>
      </c>
      <c r="E307" s="34">
        <v>45107</v>
      </c>
      <c r="F307" s="35">
        <v>1150</v>
      </c>
      <c r="G307" s="36">
        <v>10</v>
      </c>
      <c r="H307" s="37">
        <f t="shared" ref="H307:H322" si="55">+F307/G307</f>
        <v>115</v>
      </c>
      <c r="I307" s="35">
        <v>144.35269500000001</v>
      </c>
      <c r="J307" s="35">
        <v>11125.489371</v>
      </c>
      <c r="K307" s="35">
        <v>2127.98045</v>
      </c>
      <c r="L307" s="35">
        <v>223.55966599999999</v>
      </c>
      <c r="M307" s="35">
        <v>-383.55168500000002</v>
      </c>
      <c r="N307" s="37">
        <f t="shared" ref="N307:N322" si="56">+M307-O307</f>
        <v>21.588844999999992</v>
      </c>
      <c r="O307" s="35">
        <v>-405.14053000000001</v>
      </c>
      <c r="P307" s="38">
        <v>0</v>
      </c>
      <c r="Q307" s="38">
        <v>0</v>
      </c>
      <c r="R307" s="39">
        <f t="shared" ref="R307:R322" si="57">SUM(P307:Q307)</f>
        <v>0</v>
      </c>
      <c r="S307" s="38"/>
      <c r="T307" s="40">
        <v>2041</v>
      </c>
    </row>
    <row r="308" spans="2:20" ht="15.6" x14ac:dyDescent="0.3">
      <c r="B308" s="59">
        <f>+B307+1</f>
        <v>2</v>
      </c>
      <c r="C308" s="59" t="s">
        <v>501</v>
      </c>
      <c r="D308" s="33" t="s">
        <v>502</v>
      </c>
      <c r="E308" s="34">
        <v>45107</v>
      </c>
      <c r="F308" s="35">
        <f>2*G308</f>
        <v>20</v>
      </c>
      <c r="G308" s="36">
        <v>10</v>
      </c>
      <c r="H308" s="37">
        <f t="shared" si="55"/>
        <v>2</v>
      </c>
      <c r="I308" s="35">
        <v>586.51114600000005</v>
      </c>
      <c r="J308" s="35">
        <v>615.40025500000002</v>
      </c>
      <c r="K308" s="35">
        <v>0</v>
      </c>
      <c r="L308" s="35">
        <v>3.6219999999999998E-3</v>
      </c>
      <c r="M308" s="35">
        <v>158.20370800000001</v>
      </c>
      <c r="N308" s="37">
        <f t="shared" si="56"/>
        <v>0</v>
      </c>
      <c r="O308" s="35">
        <v>158.20370800000001</v>
      </c>
      <c r="P308" s="38">
        <v>0</v>
      </c>
      <c r="Q308" s="38">
        <v>0</v>
      </c>
      <c r="R308" s="39">
        <f t="shared" si="57"/>
        <v>0</v>
      </c>
      <c r="S308" s="38"/>
      <c r="T308" s="40">
        <v>125</v>
      </c>
    </row>
    <row r="309" spans="2:20" ht="15.6" x14ac:dyDescent="0.3">
      <c r="B309" s="59">
        <f t="shared" ref="B309:B322" si="58">+B308+1</f>
        <v>3</v>
      </c>
      <c r="C309" s="59" t="s">
        <v>503</v>
      </c>
      <c r="D309" s="33" t="s">
        <v>504</v>
      </c>
      <c r="E309" s="34">
        <v>45107</v>
      </c>
      <c r="F309" s="35"/>
      <c r="G309" s="36">
        <v>10</v>
      </c>
      <c r="H309" s="37">
        <f t="shared" si="55"/>
        <v>0</v>
      </c>
      <c r="I309" s="35"/>
      <c r="J309" s="35"/>
      <c r="K309" s="35"/>
      <c r="L309" s="35"/>
      <c r="M309" s="35"/>
      <c r="N309" s="37">
        <f t="shared" si="56"/>
        <v>0</v>
      </c>
      <c r="O309" s="35"/>
      <c r="P309" s="38"/>
      <c r="Q309" s="38"/>
      <c r="R309" s="39">
        <f t="shared" si="57"/>
        <v>0</v>
      </c>
      <c r="S309" s="38"/>
      <c r="T309" s="40"/>
    </row>
    <row r="310" spans="2:20" ht="15.6" x14ac:dyDescent="0.3">
      <c r="B310" s="59">
        <f t="shared" si="58"/>
        <v>4</v>
      </c>
      <c r="C310" s="59" t="s">
        <v>505</v>
      </c>
      <c r="D310" s="33" t="s">
        <v>506</v>
      </c>
      <c r="E310" s="34">
        <v>45107</v>
      </c>
      <c r="F310" s="35">
        <f>13.2716*G310</f>
        <v>132.71600000000001</v>
      </c>
      <c r="G310" s="36">
        <v>10</v>
      </c>
      <c r="H310" s="37">
        <f t="shared" si="55"/>
        <v>13.271600000000001</v>
      </c>
      <c r="I310" s="35">
        <v>400.25454400000001</v>
      </c>
      <c r="J310" s="35">
        <v>699.25671799999998</v>
      </c>
      <c r="K310" s="35">
        <v>563.53335200000004</v>
      </c>
      <c r="L310" s="35">
        <v>2.362E-3</v>
      </c>
      <c r="M310" s="35">
        <v>-17.392126000000001</v>
      </c>
      <c r="N310" s="37">
        <f t="shared" si="56"/>
        <v>-24.782355000000003</v>
      </c>
      <c r="O310" s="35">
        <v>7.3902289999999997</v>
      </c>
      <c r="P310" s="38">
        <v>0</v>
      </c>
      <c r="Q310" s="38">
        <v>0</v>
      </c>
      <c r="R310" s="39">
        <f t="shared" si="57"/>
        <v>0</v>
      </c>
      <c r="S310" s="38"/>
      <c r="T310" s="40">
        <v>296</v>
      </c>
    </row>
    <row r="311" spans="2:20" ht="15.6" x14ac:dyDescent="0.3">
      <c r="B311" s="59">
        <f t="shared" si="58"/>
        <v>5</v>
      </c>
      <c r="C311" s="59" t="s">
        <v>507</v>
      </c>
      <c r="D311" s="45" t="s">
        <v>508</v>
      </c>
      <c r="E311" s="34">
        <v>45107</v>
      </c>
      <c r="F311" s="35">
        <f>32.491205*G311</f>
        <v>324.91205000000002</v>
      </c>
      <c r="G311" s="36">
        <v>10</v>
      </c>
      <c r="H311" s="37">
        <f t="shared" si="55"/>
        <v>32.491205000000001</v>
      </c>
      <c r="I311" s="35">
        <v>802.29132600000003</v>
      </c>
      <c r="J311" s="35">
        <v>993.78852600000005</v>
      </c>
      <c r="K311" s="35">
        <v>5.3379329999999996</v>
      </c>
      <c r="L311" s="35">
        <v>0.24285999999999999</v>
      </c>
      <c r="M311" s="35">
        <v>86.281837999999993</v>
      </c>
      <c r="N311" s="37">
        <f t="shared" si="56"/>
        <v>14.667911999999987</v>
      </c>
      <c r="O311" s="35">
        <v>71.613926000000006</v>
      </c>
      <c r="P311" s="38">
        <v>0</v>
      </c>
      <c r="Q311" s="38">
        <v>0</v>
      </c>
      <c r="R311" s="39">
        <f t="shared" si="57"/>
        <v>0</v>
      </c>
      <c r="S311" s="38"/>
      <c r="T311" s="40">
        <v>1538</v>
      </c>
    </row>
    <row r="312" spans="2:20" ht="15.6" x14ac:dyDescent="0.3">
      <c r="B312" s="59">
        <f t="shared" si="58"/>
        <v>6</v>
      </c>
      <c r="C312" s="59" t="s">
        <v>509</v>
      </c>
      <c r="D312" s="33" t="s">
        <v>510</v>
      </c>
      <c r="E312" s="34">
        <v>45107</v>
      </c>
      <c r="F312" s="35"/>
      <c r="G312" s="36">
        <v>10</v>
      </c>
      <c r="H312" s="37">
        <f t="shared" si="55"/>
        <v>0</v>
      </c>
      <c r="I312" s="35"/>
      <c r="J312" s="35"/>
      <c r="K312" s="35"/>
      <c r="L312" s="35"/>
      <c r="M312" s="35"/>
      <c r="N312" s="37">
        <f t="shared" si="56"/>
        <v>0</v>
      </c>
      <c r="O312" s="35"/>
      <c r="P312" s="38"/>
      <c r="Q312" s="38"/>
      <c r="R312" s="39">
        <f t="shared" si="57"/>
        <v>0</v>
      </c>
      <c r="S312" s="38"/>
      <c r="T312" s="40"/>
    </row>
    <row r="313" spans="2:20" ht="15.6" x14ac:dyDescent="0.3">
      <c r="B313" s="59">
        <f t="shared" si="58"/>
        <v>7</v>
      </c>
      <c r="C313" s="59" t="s">
        <v>511</v>
      </c>
      <c r="D313" s="33" t="s">
        <v>512</v>
      </c>
      <c r="E313" s="34">
        <v>45107</v>
      </c>
      <c r="F313" s="35"/>
      <c r="G313" s="36">
        <v>10</v>
      </c>
      <c r="H313" s="37">
        <f t="shared" si="55"/>
        <v>0</v>
      </c>
      <c r="I313" s="35"/>
      <c r="J313" s="35"/>
      <c r="K313" s="35"/>
      <c r="L313" s="35"/>
      <c r="M313" s="35"/>
      <c r="N313" s="37">
        <f t="shared" si="56"/>
        <v>0</v>
      </c>
      <c r="O313" s="35"/>
      <c r="P313" s="38"/>
      <c r="Q313" s="38"/>
      <c r="R313" s="39">
        <f t="shared" si="57"/>
        <v>0</v>
      </c>
      <c r="S313" s="38"/>
      <c r="T313" s="40"/>
    </row>
    <row r="314" spans="2:20" ht="15.6" x14ac:dyDescent="0.3">
      <c r="B314" s="59">
        <f t="shared" si="58"/>
        <v>8</v>
      </c>
      <c r="C314" s="59" t="s">
        <v>513</v>
      </c>
      <c r="D314" s="33" t="s">
        <v>514</v>
      </c>
      <c r="E314" s="34">
        <v>45107</v>
      </c>
      <c r="F314" s="35">
        <f>5.4*G314</f>
        <v>54</v>
      </c>
      <c r="G314" s="36">
        <v>10</v>
      </c>
      <c r="H314" s="37">
        <f t="shared" si="55"/>
        <v>5.4</v>
      </c>
      <c r="I314" s="35">
        <v>220.974647</v>
      </c>
      <c r="J314" s="35">
        <v>273.86709100000002</v>
      </c>
      <c r="K314" s="35">
        <v>0</v>
      </c>
      <c r="L314" s="35">
        <v>9.8299999999999993E-4</v>
      </c>
      <c r="M314" s="35">
        <v>0.39075399999999999</v>
      </c>
      <c r="N314" s="37">
        <f t="shared" si="56"/>
        <v>1.9048370000000001</v>
      </c>
      <c r="O314" s="35">
        <v>-1.5140830000000001</v>
      </c>
      <c r="P314" s="38">
        <v>0</v>
      </c>
      <c r="Q314" s="38">
        <v>0</v>
      </c>
      <c r="R314" s="39">
        <f t="shared" si="57"/>
        <v>0</v>
      </c>
      <c r="S314" s="38"/>
      <c r="T314" s="40">
        <v>611</v>
      </c>
    </row>
    <row r="315" spans="2:20" ht="15.6" x14ac:dyDescent="0.3">
      <c r="B315" s="59">
        <f t="shared" si="58"/>
        <v>9</v>
      </c>
      <c r="C315" s="59" t="s">
        <v>515</v>
      </c>
      <c r="D315" s="45" t="s">
        <v>516</v>
      </c>
      <c r="E315" s="34">
        <v>45107</v>
      </c>
      <c r="F315" s="78">
        <f>24.2*G315</f>
        <v>242</v>
      </c>
      <c r="G315" s="79">
        <v>10</v>
      </c>
      <c r="H315" s="80">
        <f t="shared" si="55"/>
        <v>24.2</v>
      </c>
      <c r="I315" s="78"/>
      <c r="J315" s="78"/>
      <c r="K315" s="78"/>
      <c r="L315" s="78"/>
      <c r="M315" s="78">
        <v>-322.29199999999997</v>
      </c>
      <c r="N315" s="80">
        <f t="shared" si="56"/>
        <v>4.1580000000000155</v>
      </c>
      <c r="O315" s="78">
        <v>-326.45</v>
      </c>
      <c r="P315" s="81">
        <v>0</v>
      </c>
      <c r="Q315" s="81">
        <v>0</v>
      </c>
      <c r="R315" s="82">
        <f t="shared" si="57"/>
        <v>0</v>
      </c>
      <c r="S315" s="81"/>
      <c r="T315" s="83"/>
    </row>
    <row r="316" spans="2:20" ht="15.6" x14ac:dyDescent="0.3">
      <c r="B316" s="59">
        <f t="shared" si="58"/>
        <v>10</v>
      </c>
      <c r="C316" s="59" t="s">
        <v>517</v>
      </c>
      <c r="D316" s="33" t="s">
        <v>518</v>
      </c>
      <c r="E316" s="34">
        <v>45107</v>
      </c>
      <c r="F316" s="35">
        <f>17.35233*G316</f>
        <v>173.52329999999998</v>
      </c>
      <c r="G316" s="36">
        <v>10</v>
      </c>
      <c r="H316" s="37">
        <f t="shared" si="55"/>
        <v>17.352329999999998</v>
      </c>
      <c r="I316" s="35">
        <v>-602.97904100000005</v>
      </c>
      <c r="J316" s="35">
        <v>25.683584</v>
      </c>
      <c r="K316" s="35">
        <v>0</v>
      </c>
      <c r="L316" s="35">
        <v>3.4259999999999998E-3</v>
      </c>
      <c r="M316" s="35">
        <v>-6.4250230000000004</v>
      </c>
      <c r="N316" s="37">
        <f t="shared" si="56"/>
        <v>0</v>
      </c>
      <c r="O316" s="35">
        <v>-6.4250230000000004</v>
      </c>
      <c r="P316" s="38">
        <v>0</v>
      </c>
      <c r="Q316" s="38">
        <v>0</v>
      </c>
      <c r="R316" s="39">
        <f t="shared" si="57"/>
        <v>0</v>
      </c>
      <c r="S316" s="38"/>
      <c r="T316" s="40">
        <v>2889</v>
      </c>
    </row>
    <row r="317" spans="2:20" ht="15.6" x14ac:dyDescent="0.3">
      <c r="B317" s="59">
        <f t="shared" si="58"/>
        <v>11</v>
      </c>
      <c r="C317" s="59" t="s">
        <v>519</v>
      </c>
      <c r="D317" s="33" t="s">
        <v>520</v>
      </c>
      <c r="E317" s="34">
        <v>45107</v>
      </c>
      <c r="F317" s="35">
        <f>13*G317</f>
        <v>130</v>
      </c>
      <c r="G317" s="36">
        <v>10</v>
      </c>
      <c r="H317" s="37">
        <f>+F317/G317</f>
        <v>13</v>
      </c>
      <c r="I317" s="35">
        <v>3987.440885</v>
      </c>
      <c r="J317" s="35">
        <v>15010.777429</v>
      </c>
      <c r="K317" s="35">
        <v>3392.9683260000002</v>
      </c>
      <c r="L317" s="35">
        <v>32.318741000000003</v>
      </c>
      <c r="M317" s="35">
        <v>-942.62560299999996</v>
      </c>
      <c r="N317" s="37">
        <f>+M317-O317</f>
        <v>42.442637999999988</v>
      </c>
      <c r="O317" s="35">
        <v>-985.06824099999994</v>
      </c>
      <c r="P317" s="38">
        <v>0</v>
      </c>
      <c r="Q317" s="38">
        <v>0</v>
      </c>
      <c r="R317" s="39">
        <f>SUM(P317:Q317)</f>
        <v>0</v>
      </c>
      <c r="S317" s="38"/>
      <c r="T317" s="40">
        <v>332</v>
      </c>
    </row>
    <row r="318" spans="2:20" ht="15.6" x14ac:dyDescent="0.3">
      <c r="B318" s="59">
        <f t="shared" si="58"/>
        <v>12</v>
      </c>
      <c r="C318" s="59" t="s">
        <v>521</v>
      </c>
      <c r="D318" s="33" t="s">
        <v>522</v>
      </c>
      <c r="E318" s="34">
        <v>45107</v>
      </c>
      <c r="F318" s="35"/>
      <c r="G318" s="36">
        <v>10</v>
      </c>
      <c r="H318" s="37">
        <f t="shared" si="55"/>
        <v>0</v>
      </c>
      <c r="I318" s="35"/>
      <c r="J318" s="35"/>
      <c r="K318" s="35"/>
      <c r="L318" s="35"/>
      <c r="M318" s="35"/>
      <c r="N318" s="37">
        <f t="shared" si="56"/>
        <v>0</v>
      </c>
      <c r="O318" s="35"/>
      <c r="P318" s="38"/>
      <c r="Q318" s="38"/>
      <c r="R318" s="39">
        <f t="shared" si="57"/>
        <v>0</v>
      </c>
      <c r="S318" s="38"/>
      <c r="T318" s="40"/>
    </row>
    <row r="319" spans="2:20" ht="15.6" x14ac:dyDescent="0.3">
      <c r="B319" s="59">
        <f t="shared" si="58"/>
        <v>13</v>
      </c>
      <c r="C319" s="59" t="s">
        <v>523</v>
      </c>
      <c r="D319" s="33" t="s">
        <v>524</v>
      </c>
      <c r="E319" s="34">
        <v>45107</v>
      </c>
      <c r="F319" s="35"/>
      <c r="G319" s="36">
        <v>10</v>
      </c>
      <c r="H319" s="37">
        <f t="shared" si="55"/>
        <v>0</v>
      </c>
      <c r="I319" s="35"/>
      <c r="J319" s="35"/>
      <c r="K319" s="35"/>
      <c r="L319" s="35"/>
      <c r="M319" s="35"/>
      <c r="N319" s="37">
        <f t="shared" si="56"/>
        <v>0</v>
      </c>
      <c r="O319" s="35"/>
      <c r="P319" s="38"/>
      <c r="Q319" s="38"/>
      <c r="R319" s="39">
        <f t="shared" si="57"/>
        <v>0</v>
      </c>
      <c r="S319" s="38"/>
      <c r="T319" s="40"/>
    </row>
    <row r="320" spans="2:20" ht="15.6" x14ac:dyDescent="0.3">
      <c r="B320" s="59">
        <f t="shared" si="58"/>
        <v>14</v>
      </c>
      <c r="C320" s="59" t="s">
        <v>525</v>
      </c>
      <c r="D320" s="33" t="s">
        <v>526</v>
      </c>
      <c r="E320" s="34">
        <v>45107</v>
      </c>
      <c r="F320" s="35"/>
      <c r="G320" s="36">
        <v>10</v>
      </c>
      <c r="H320" s="37">
        <f t="shared" si="55"/>
        <v>0</v>
      </c>
      <c r="I320" s="35"/>
      <c r="J320" s="35"/>
      <c r="K320" s="35"/>
      <c r="L320" s="35"/>
      <c r="M320" s="35"/>
      <c r="N320" s="37">
        <f t="shared" si="56"/>
        <v>0</v>
      </c>
      <c r="O320" s="35"/>
      <c r="P320" s="38"/>
      <c r="Q320" s="38"/>
      <c r="R320" s="39">
        <f t="shared" si="57"/>
        <v>0</v>
      </c>
      <c r="S320" s="38"/>
      <c r="T320" s="40"/>
    </row>
    <row r="321" spans="2:20" ht="15.6" x14ac:dyDescent="0.3">
      <c r="B321" s="59">
        <f t="shared" si="58"/>
        <v>15</v>
      </c>
      <c r="C321" s="59" t="s">
        <v>527</v>
      </c>
      <c r="D321" s="33" t="s">
        <v>528</v>
      </c>
      <c r="E321" s="34">
        <v>45107</v>
      </c>
      <c r="F321" s="35"/>
      <c r="G321" s="36">
        <v>10</v>
      </c>
      <c r="H321" s="37">
        <f t="shared" si="55"/>
        <v>0</v>
      </c>
      <c r="I321" s="35"/>
      <c r="J321" s="35"/>
      <c r="K321" s="35"/>
      <c r="L321" s="35"/>
      <c r="M321" s="35"/>
      <c r="N321" s="37">
        <f t="shared" si="56"/>
        <v>0</v>
      </c>
      <c r="O321" s="35"/>
      <c r="P321" s="38"/>
      <c r="Q321" s="38"/>
      <c r="R321" s="39">
        <f t="shared" si="57"/>
        <v>0</v>
      </c>
      <c r="S321" s="38"/>
      <c r="T321" s="40"/>
    </row>
    <row r="322" spans="2:20" ht="15.6" x14ac:dyDescent="0.3">
      <c r="B322" s="59">
        <f t="shared" si="58"/>
        <v>16</v>
      </c>
      <c r="C322" s="59" t="s">
        <v>529</v>
      </c>
      <c r="D322" s="33" t="s">
        <v>530</v>
      </c>
      <c r="E322" s="34">
        <v>45107</v>
      </c>
      <c r="F322" s="35">
        <f>9.86*G322</f>
        <v>98.6</v>
      </c>
      <c r="G322" s="36">
        <v>10</v>
      </c>
      <c r="H322" s="37">
        <f t="shared" si="55"/>
        <v>9.86</v>
      </c>
      <c r="I322" s="35">
        <v>-39.086210999999999</v>
      </c>
      <c r="J322" s="35">
        <v>8.1034999999999996E-2</v>
      </c>
      <c r="K322" s="35">
        <v>0</v>
      </c>
      <c r="L322" s="35">
        <v>5.13E-4</v>
      </c>
      <c r="M322" s="35">
        <v>-0.74576299999999995</v>
      </c>
      <c r="N322" s="37">
        <f t="shared" si="56"/>
        <v>0</v>
      </c>
      <c r="O322" s="35">
        <v>-0.74576299999999995</v>
      </c>
      <c r="P322" s="38">
        <v>0</v>
      </c>
      <c r="Q322" s="38">
        <v>0</v>
      </c>
      <c r="R322" s="39">
        <f t="shared" si="57"/>
        <v>0</v>
      </c>
      <c r="S322" s="38"/>
      <c r="T322" s="40">
        <v>6129</v>
      </c>
    </row>
    <row r="323" spans="2:20" ht="15.6" x14ac:dyDescent="0.3">
      <c r="B323" s="61"/>
      <c r="C323" s="61"/>
      <c r="D323" s="63"/>
      <c r="E323" s="64"/>
      <c r="F323" s="65"/>
      <c r="G323" s="42"/>
      <c r="H323" s="66"/>
      <c r="I323" s="65"/>
      <c r="J323" s="65"/>
      <c r="K323" s="65"/>
      <c r="L323" s="65"/>
      <c r="M323" s="65"/>
      <c r="N323" s="66"/>
      <c r="O323" s="65"/>
      <c r="P323" s="67"/>
      <c r="Q323" s="67"/>
      <c r="R323" s="68"/>
      <c r="S323" s="67"/>
      <c r="T323" s="69"/>
    </row>
    <row r="324" spans="2:20" ht="15.6" x14ac:dyDescent="0.3">
      <c r="B324" s="46">
        <f>COUNT(B269:B323)</f>
        <v>51</v>
      </c>
      <c r="C324" s="46"/>
      <c r="D324" s="47"/>
      <c r="E324" s="47"/>
      <c r="F324" s="47">
        <f>SUM(F269:F323)</f>
        <v>50784.093719999997</v>
      </c>
      <c r="G324" s="48"/>
      <c r="H324" s="49">
        <f>SUM(H269:H323)</f>
        <v>5078.4093719999992</v>
      </c>
      <c r="I324" s="47">
        <f>SUM(I269:I323)</f>
        <v>523553.07857199997</v>
      </c>
      <c r="J324" s="47" t="e">
        <f>SUM(J269:J323)</f>
        <v>#REF!</v>
      </c>
      <c r="K324" s="47">
        <f>SUM(K269:K323)</f>
        <v>1146481.5372259996</v>
      </c>
      <c r="L324" s="47">
        <f>SUM(L269:L323)</f>
        <v>57182.680742999997</v>
      </c>
      <c r="M324" s="47">
        <f>SUM(M269:M323)</f>
        <v>87519.160578999989</v>
      </c>
      <c r="N324" s="50">
        <f>SUM(N269:N323)</f>
        <v>17993.696232999999</v>
      </c>
      <c r="O324" s="47">
        <f>SUM(O269:O323)</f>
        <v>69525.464345999979</v>
      </c>
      <c r="P324" s="51"/>
      <c r="Q324" s="51"/>
      <c r="R324" s="52"/>
      <c r="S324" s="51"/>
      <c r="T324" s="53">
        <f>SUM(T269:T323)</f>
        <v>96375</v>
      </c>
    </row>
    <row r="325" spans="2:20" ht="15.6" x14ac:dyDescent="0.3">
      <c r="B325" s="61"/>
      <c r="C325" s="61"/>
      <c r="D325" s="63"/>
      <c r="E325" s="64"/>
      <c r="F325" s="65"/>
      <c r="G325" s="42"/>
      <c r="H325" s="66"/>
      <c r="I325" s="65"/>
      <c r="J325" s="65"/>
      <c r="K325" s="65"/>
      <c r="L325" s="65"/>
      <c r="M325" s="65"/>
      <c r="N325" s="66"/>
      <c r="O325" s="65"/>
      <c r="P325" s="67"/>
      <c r="Q325" s="67"/>
      <c r="R325" s="68"/>
      <c r="S325" s="67"/>
      <c r="T325" s="69"/>
    </row>
    <row r="326" spans="2:20" ht="15.6" x14ac:dyDescent="0.3">
      <c r="B326" s="61"/>
      <c r="C326" s="61"/>
      <c r="D326" s="63"/>
      <c r="E326" s="64"/>
      <c r="F326" s="65"/>
      <c r="G326" s="42"/>
      <c r="H326" s="66"/>
      <c r="I326" s="65"/>
      <c r="J326" s="65"/>
      <c r="K326" s="65"/>
      <c r="L326" s="65"/>
      <c r="M326" s="65"/>
      <c r="N326" s="66"/>
      <c r="O326" s="65"/>
      <c r="P326" s="67"/>
      <c r="Q326" s="67"/>
      <c r="R326" s="68"/>
      <c r="S326" s="67"/>
      <c r="T326" s="69"/>
    </row>
    <row r="327" spans="2:20" ht="18" x14ac:dyDescent="0.35">
      <c r="B327" s="27"/>
      <c r="C327" s="31">
        <v>11</v>
      </c>
      <c r="D327" s="31" t="s">
        <v>531</v>
      </c>
      <c r="E327" s="60"/>
      <c r="F327" s="60"/>
      <c r="G327" s="42"/>
      <c r="H327" s="43"/>
      <c r="I327" s="29"/>
      <c r="J327" s="29"/>
      <c r="K327" s="29"/>
      <c r="L327" s="29"/>
      <c r="M327" s="29"/>
      <c r="N327" s="44"/>
      <c r="O327" s="29"/>
      <c r="P327" s="29"/>
      <c r="Q327" s="29"/>
      <c r="R327" s="44"/>
      <c r="S327" s="29"/>
      <c r="T327" s="29"/>
    </row>
    <row r="328" spans="2:20" ht="15.6" x14ac:dyDescent="0.3">
      <c r="B328" s="61"/>
      <c r="C328" s="61"/>
      <c r="D328" s="63"/>
      <c r="E328" s="64"/>
      <c r="F328" s="65"/>
      <c r="G328" s="42"/>
      <c r="H328" s="66"/>
      <c r="I328" s="65"/>
      <c r="J328" s="65"/>
      <c r="K328" s="65"/>
      <c r="L328" s="65"/>
      <c r="M328" s="65"/>
      <c r="N328" s="66"/>
      <c r="O328" s="65"/>
      <c r="P328" s="67"/>
      <c r="Q328" s="67"/>
      <c r="R328" s="68"/>
      <c r="S328" s="67"/>
      <c r="T328" s="69"/>
    </row>
    <row r="329" spans="2:20" ht="15.6" x14ac:dyDescent="0.3">
      <c r="B329" s="59">
        <v>1</v>
      </c>
      <c r="C329" s="59" t="s">
        <v>532</v>
      </c>
      <c r="D329" s="33" t="s">
        <v>533</v>
      </c>
      <c r="E329" s="34">
        <v>45107</v>
      </c>
      <c r="F329" s="35">
        <f>9.50625*G329</f>
        <v>95.0625</v>
      </c>
      <c r="G329" s="36">
        <v>10</v>
      </c>
      <c r="H329" s="37">
        <f>+F329/G329</f>
        <v>9.5062499999999996</v>
      </c>
      <c r="I329" s="35">
        <v>2843.6309999999999</v>
      </c>
      <c r="J329" s="35">
        <v>3641.9029999999998</v>
      </c>
      <c r="K329" s="35">
        <v>1038.7339999999999</v>
      </c>
      <c r="L329" s="35">
        <v>70.777000000000001</v>
      </c>
      <c r="M329" s="35">
        <v>-329.62</v>
      </c>
      <c r="N329" s="37">
        <f>+M329-O329</f>
        <v>13.540999999999997</v>
      </c>
      <c r="O329" s="35">
        <v>-343.161</v>
      </c>
      <c r="P329" s="38">
        <v>0</v>
      </c>
      <c r="Q329" s="38">
        <v>0</v>
      </c>
      <c r="R329" s="39">
        <f>SUM(P329:Q329)</f>
        <v>0</v>
      </c>
      <c r="S329" s="38"/>
      <c r="T329" s="40">
        <v>1107</v>
      </c>
    </row>
    <row r="330" spans="2:20" ht="15.6" x14ac:dyDescent="0.3">
      <c r="B330" s="61"/>
      <c r="C330" s="61"/>
      <c r="D330" s="63"/>
      <c r="E330" s="64"/>
      <c r="F330" s="65"/>
      <c r="G330" s="42"/>
      <c r="H330" s="66"/>
      <c r="I330" s="65"/>
      <c r="J330" s="65"/>
      <c r="K330" s="65"/>
      <c r="L330" s="65"/>
      <c r="M330" s="65"/>
      <c r="N330" s="66"/>
      <c r="O330" s="65"/>
      <c r="P330" s="67"/>
      <c r="Q330" s="67"/>
      <c r="R330" s="68"/>
      <c r="S330" s="67"/>
      <c r="T330" s="69"/>
    </row>
    <row r="331" spans="2:20" ht="15.6" x14ac:dyDescent="0.3">
      <c r="B331" s="46">
        <f>COUNT(B329:B330)</f>
        <v>1</v>
      </c>
      <c r="C331" s="46"/>
      <c r="D331" s="47"/>
      <c r="E331" s="47"/>
      <c r="F331" s="47">
        <f>SUM(F329:F330)</f>
        <v>95.0625</v>
      </c>
      <c r="G331" s="48"/>
      <c r="H331" s="49">
        <f t="shared" ref="H331:O331" si="59">SUM(H329:H330)</f>
        <v>9.5062499999999996</v>
      </c>
      <c r="I331" s="47">
        <f t="shared" si="59"/>
        <v>2843.6309999999999</v>
      </c>
      <c r="J331" s="47">
        <f t="shared" si="59"/>
        <v>3641.9029999999998</v>
      </c>
      <c r="K331" s="47">
        <f t="shared" si="59"/>
        <v>1038.7339999999999</v>
      </c>
      <c r="L331" s="47">
        <f t="shared" si="59"/>
        <v>70.777000000000001</v>
      </c>
      <c r="M331" s="47">
        <f t="shared" si="59"/>
        <v>-329.62</v>
      </c>
      <c r="N331" s="50">
        <f t="shared" si="59"/>
        <v>13.540999999999997</v>
      </c>
      <c r="O331" s="47">
        <f t="shared" si="59"/>
        <v>-343.161</v>
      </c>
      <c r="P331" s="51"/>
      <c r="Q331" s="51"/>
      <c r="R331" s="52"/>
      <c r="S331" s="51"/>
      <c r="T331" s="53">
        <f>SUM(T329:T330)</f>
        <v>1107</v>
      </c>
    </row>
    <row r="332" spans="2:20" ht="15.6" x14ac:dyDescent="0.3">
      <c r="B332" s="61"/>
      <c r="C332" s="61"/>
      <c r="D332" s="63"/>
      <c r="E332" s="64"/>
      <c r="F332" s="65"/>
      <c r="G332" s="42"/>
      <c r="H332" s="66"/>
      <c r="I332" s="65"/>
      <c r="J332" s="65"/>
      <c r="K332" s="65"/>
      <c r="L332" s="65"/>
      <c r="M332" s="65"/>
      <c r="N332" s="66"/>
      <c r="O332" s="65"/>
      <c r="P332" s="67"/>
      <c r="Q332" s="67"/>
      <c r="R332" s="68"/>
      <c r="S332" s="67"/>
      <c r="T332" s="69"/>
    </row>
    <row r="333" spans="2:20" ht="15.6" x14ac:dyDescent="0.3">
      <c r="B333" s="61"/>
      <c r="C333" s="61"/>
      <c r="D333" s="63"/>
      <c r="E333" s="64"/>
      <c r="F333" s="65"/>
      <c r="G333" s="42"/>
      <c r="H333" s="66"/>
      <c r="I333" s="65"/>
      <c r="J333" s="65"/>
      <c r="K333" s="65"/>
      <c r="L333" s="65"/>
      <c r="M333" s="65"/>
      <c r="N333" s="66"/>
      <c r="O333" s="65"/>
      <c r="P333" s="67"/>
      <c r="Q333" s="67"/>
      <c r="R333" s="68"/>
      <c r="S333" s="67"/>
      <c r="T333" s="69"/>
    </row>
    <row r="334" spans="2:20" ht="18" x14ac:dyDescent="0.35">
      <c r="B334" s="27"/>
      <c r="C334" s="31">
        <v>12</v>
      </c>
      <c r="D334" s="31" t="s">
        <v>534</v>
      </c>
      <c r="E334" s="60"/>
      <c r="F334" s="60"/>
      <c r="G334" s="42"/>
      <c r="H334" s="43"/>
      <c r="I334" s="29"/>
      <c r="J334" s="29"/>
      <c r="K334" s="29"/>
      <c r="L334" s="29"/>
      <c r="M334" s="29"/>
      <c r="N334" s="44"/>
      <c r="O334" s="29"/>
      <c r="P334" s="29"/>
      <c r="Q334" s="29"/>
      <c r="R334" s="44"/>
      <c r="S334" s="29"/>
      <c r="T334" s="29"/>
    </row>
    <row r="335" spans="2:20" ht="15.6" x14ac:dyDescent="0.3">
      <c r="B335" s="61"/>
      <c r="C335" s="61"/>
      <c r="D335" s="63"/>
      <c r="E335" s="64"/>
      <c r="F335" s="65"/>
      <c r="G335" s="42"/>
      <c r="H335" s="66"/>
      <c r="I335" s="65"/>
      <c r="J335" s="65"/>
      <c r="K335" s="65"/>
      <c r="L335" s="65"/>
      <c r="M335" s="65"/>
      <c r="N335" s="66"/>
      <c r="O335" s="65"/>
      <c r="P335" s="67"/>
      <c r="Q335" s="67"/>
      <c r="R335" s="68"/>
      <c r="S335" s="67"/>
      <c r="T335" s="69"/>
    </row>
    <row r="336" spans="2:20" ht="15.6" x14ac:dyDescent="0.3">
      <c r="B336" s="59">
        <v>1</v>
      </c>
      <c r="C336" s="59" t="s">
        <v>535</v>
      </c>
      <c r="D336" s="33" t="s">
        <v>536</v>
      </c>
      <c r="E336" s="34">
        <v>45107</v>
      </c>
      <c r="F336" s="35">
        <f>76.729*G336</f>
        <v>767.29</v>
      </c>
      <c r="G336" s="36">
        <v>10</v>
      </c>
      <c r="H336" s="37">
        <f t="shared" ref="H336:H341" si="60">+F336/G336</f>
        <v>76.728999999999999</v>
      </c>
      <c r="I336" s="35">
        <v>7860.067</v>
      </c>
      <c r="J336" s="35">
        <v>37576.813999999998</v>
      </c>
      <c r="K336" s="35">
        <v>27383.78</v>
      </c>
      <c r="L336" s="35">
        <v>1074.5050000000001</v>
      </c>
      <c r="M336" s="35">
        <v>551.27599999999995</v>
      </c>
      <c r="N336" s="37">
        <f t="shared" ref="N336:N341" si="61">+M336-O336</f>
        <v>345.97599999999994</v>
      </c>
      <c r="O336" s="35">
        <v>205.3</v>
      </c>
      <c r="P336" s="38">
        <f>30</f>
        <v>30</v>
      </c>
      <c r="Q336" s="38">
        <f>100</f>
        <v>100</v>
      </c>
      <c r="R336" s="39">
        <f t="shared" ref="R336:R341" si="62">SUM(P336:Q336)</f>
        <v>130</v>
      </c>
      <c r="S336" s="38"/>
      <c r="T336" s="40">
        <v>1321</v>
      </c>
    </row>
    <row r="337" spans="2:20" ht="15.6" x14ac:dyDescent="0.3">
      <c r="B337" s="59">
        <f t="shared" ref="B337:B341" si="63">+B336+1</f>
        <v>2</v>
      </c>
      <c r="C337" s="59" t="s">
        <v>537</v>
      </c>
      <c r="D337" s="33" t="s">
        <v>538</v>
      </c>
      <c r="E337" s="34">
        <v>45107</v>
      </c>
      <c r="F337" s="35">
        <v>3105.0699500000001</v>
      </c>
      <c r="G337" s="36">
        <v>10</v>
      </c>
      <c r="H337" s="37">
        <f t="shared" si="60"/>
        <v>310.50699500000002</v>
      </c>
      <c r="I337" s="35">
        <v>54649.796599000001</v>
      </c>
      <c r="J337" s="35">
        <f>39683.724382+49313.840773</f>
        <v>88997.565155000004</v>
      </c>
      <c r="K337" s="35">
        <v>119761.927341</v>
      </c>
      <c r="L337" s="35">
        <v>2002.570496</v>
      </c>
      <c r="M337" s="35">
        <v>3821.7198370000001</v>
      </c>
      <c r="N337" s="37">
        <f t="shared" si="61"/>
        <v>3518.2164910000001</v>
      </c>
      <c r="O337" s="35">
        <v>303.50334600000002</v>
      </c>
      <c r="P337" s="38">
        <v>0</v>
      </c>
      <c r="Q337" s="38">
        <v>0</v>
      </c>
      <c r="R337" s="39">
        <f t="shared" si="62"/>
        <v>0</v>
      </c>
      <c r="S337" s="38"/>
      <c r="T337" s="40">
        <v>1995</v>
      </c>
    </row>
    <row r="338" spans="2:20" ht="15.6" x14ac:dyDescent="0.3">
      <c r="B338" s="59">
        <f t="shared" si="63"/>
        <v>3</v>
      </c>
      <c r="C338" s="59" t="s">
        <v>539</v>
      </c>
      <c r="D338" s="33" t="s">
        <v>540</v>
      </c>
      <c r="E338" s="34">
        <v>45107</v>
      </c>
      <c r="F338" s="35">
        <f>131.639801*G338</f>
        <v>1316.3980100000001</v>
      </c>
      <c r="G338" s="36">
        <v>10</v>
      </c>
      <c r="H338" s="37">
        <f t="shared" si="60"/>
        <v>131.63980100000001</v>
      </c>
      <c r="I338" s="35">
        <v>2444.8198349999998</v>
      </c>
      <c r="J338" s="35">
        <v>3453.575632</v>
      </c>
      <c r="K338" s="35">
        <v>2064.4825059999998</v>
      </c>
      <c r="L338" s="35">
        <v>38.160862000000002</v>
      </c>
      <c r="M338" s="35">
        <v>253.223007</v>
      </c>
      <c r="N338" s="37">
        <f t="shared" si="61"/>
        <v>45.421577999999982</v>
      </c>
      <c r="O338" s="35">
        <v>207.80142900000001</v>
      </c>
      <c r="P338" s="38">
        <v>15</v>
      </c>
      <c r="Q338" s="38">
        <f>15</f>
        <v>15</v>
      </c>
      <c r="R338" s="39">
        <f t="shared" si="62"/>
        <v>30</v>
      </c>
      <c r="S338" s="38"/>
      <c r="T338" s="40">
        <v>6572</v>
      </c>
    </row>
    <row r="339" spans="2:20" ht="15.6" x14ac:dyDescent="0.3">
      <c r="B339" s="59">
        <f t="shared" si="63"/>
        <v>4</v>
      </c>
      <c r="C339" s="59" t="s">
        <v>541</v>
      </c>
      <c r="D339" s="33" t="s">
        <v>542</v>
      </c>
      <c r="E339" s="34">
        <v>45107</v>
      </c>
      <c r="F339" s="35">
        <f>15.553133*G339</f>
        <v>155.53133</v>
      </c>
      <c r="G339" s="36">
        <v>10</v>
      </c>
      <c r="H339" s="37">
        <f t="shared" si="60"/>
        <v>15.553132999999999</v>
      </c>
      <c r="I339" s="35">
        <v>1404.557779</v>
      </c>
      <c r="J339" s="35">
        <v>2005.879655</v>
      </c>
      <c r="K339" s="35">
        <v>1758.0817979999999</v>
      </c>
      <c r="L339" s="35">
        <v>8.7871129999999997</v>
      </c>
      <c r="M339" s="35">
        <v>-3.633273</v>
      </c>
      <c r="N339" s="37">
        <f t="shared" si="61"/>
        <v>19.299462999999999</v>
      </c>
      <c r="O339" s="35">
        <v>-22.932735999999998</v>
      </c>
      <c r="P339" s="38">
        <v>0</v>
      </c>
      <c r="Q339" s="38">
        <v>0</v>
      </c>
      <c r="R339" s="39">
        <f t="shared" si="62"/>
        <v>0</v>
      </c>
      <c r="S339" s="38"/>
      <c r="T339" s="40">
        <v>600</v>
      </c>
    </row>
    <row r="340" spans="2:20" ht="15.6" x14ac:dyDescent="0.3">
      <c r="B340" s="59">
        <f t="shared" si="63"/>
        <v>5</v>
      </c>
      <c r="C340" s="59" t="s">
        <v>543</v>
      </c>
      <c r="D340" s="33" t="s">
        <v>544</v>
      </c>
      <c r="E340" s="34">
        <v>45107</v>
      </c>
      <c r="F340" s="35">
        <f>138.699*G340</f>
        <v>1386.9900000000002</v>
      </c>
      <c r="G340" s="36">
        <v>10</v>
      </c>
      <c r="H340" s="37">
        <f t="shared" si="60"/>
        <v>138.69900000000001</v>
      </c>
      <c r="I340" s="35">
        <v>3910.5610000000001</v>
      </c>
      <c r="J340" s="35">
        <v>9607.9840000000004</v>
      </c>
      <c r="K340" s="35">
        <v>14425.23</v>
      </c>
      <c r="L340" s="35">
        <v>381.28899999999999</v>
      </c>
      <c r="M340" s="35">
        <v>1372.056</v>
      </c>
      <c r="N340" s="37">
        <f t="shared" si="61"/>
        <v>574.37600000000009</v>
      </c>
      <c r="O340" s="35">
        <v>797.68</v>
      </c>
      <c r="P340" s="38">
        <v>0</v>
      </c>
      <c r="Q340" s="38">
        <f>50</f>
        <v>50</v>
      </c>
      <c r="R340" s="39">
        <f t="shared" si="62"/>
        <v>50</v>
      </c>
      <c r="S340" s="38"/>
      <c r="T340" s="40">
        <v>1384</v>
      </c>
    </row>
    <row r="341" spans="2:20" ht="15.6" x14ac:dyDescent="0.3">
      <c r="B341" s="59">
        <f t="shared" si="63"/>
        <v>6</v>
      </c>
      <c r="C341" s="59" t="s">
        <v>545</v>
      </c>
      <c r="D341" s="33" t="s">
        <v>546</v>
      </c>
      <c r="E341" s="34">
        <v>45107</v>
      </c>
      <c r="F341" s="35">
        <f>34.0685*G341</f>
        <v>340.685</v>
      </c>
      <c r="G341" s="36">
        <v>10</v>
      </c>
      <c r="H341" s="37">
        <f t="shared" si="60"/>
        <v>34.0685</v>
      </c>
      <c r="I341" s="35">
        <v>7436.6540000000005</v>
      </c>
      <c r="J341" s="35">
        <v>12104.324000000001</v>
      </c>
      <c r="K341" s="35">
        <v>11526.866</v>
      </c>
      <c r="L341" s="35">
        <v>340.916</v>
      </c>
      <c r="M341" s="35">
        <v>-168.95400000000001</v>
      </c>
      <c r="N341" s="37">
        <f t="shared" si="61"/>
        <v>15.873999999999995</v>
      </c>
      <c r="O341" s="35">
        <v>-184.828</v>
      </c>
      <c r="P341" s="38">
        <v>0</v>
      </c>
      <c r="Q341" s="38">
        <v>0</v>
      </c>
      <c r="R341" s="39">
        <f t="shared" si="62"/>
        <v>0</v>
      </c>
      <c r="S341" s="38"/>
      <c r="T341" s="40">
        <v>686</v>
      </c>
    </row>
    <row r="342" spans="2:20" ht="15.6" x14ac:dyDescent="0.3">
      <c r="B342" s="61"/>
      <c r="C342" s="61"/>
      <c r="D342" s="63"/>
      <c r="E342" s="64"/>
      <c r="F342" s="65"/>
      <c r="G342" s="42"/>
      <c r="H342" s="66"/>
      <c r="I342" s="65"/>
      <c r="J342" s="65"/>
      <c r="K342" s="65"/>
      <c r="L342" s="65"/>
      <c r="M342" s="65"/>
      <c r="N342" s="66"/>
      <c r="O342" s="65"/>
      <c r="P342" s="67"/>
      <c r="Q342" s="67"/>
      <c r="R342" s="68"/>
      <c r="S342" s="67"/>
      <c r="T342" s="69"/>
    </row>
    <row r="343" spans="2:20" ht="18" x14ac:dyDescent="0.35">
      <c r="B343" s="27"/>
      <c r="C343" s="27"/>
      <c r="D343" s="55" t="s">
        <v>43</v>
      </c>
      <c r="E343" s="27"/>
      <c r="F343" s="27"/>
      <c r="G343" s="42"/>
      <c r="H343" s="43"/>
      <c r="I343" s="29"/>
      <c r="J343" s="29"/>
      <c r="K343" s="29"/>
      <c r="L343" s="29"/>
      <c r="M343" s="29"/>
      <c r="N343" s="44"/>
      <c r="O343" s="29"/>
      <c r="P343" s="29"/>
      <c r="Q343" s="29"/>
      <c r="R343" s="44"/>
      <c r="S343" s="29"/>
      <c r="T343" s="29"/>
    </row>
    <row r="344" spans="2:20" ht="15.6" x14ac:dyDescent="0.3">
      <c r="B344" s="59">
        <v>1</v>
      </c>
      <c r="C344" s="32" t="s">
        <v>547</v>
      </c>
      <c r="D344" s="33" t="s">
        <v>548</v>
      </c>
      <c r="E344" s="34">
        <v>45107</v>
      </c>
      <c r="F344" s="35">
        <f>13.40955*G344</f>
        <v>134.09549999999999</v>
      </c>
      <c r="G344" s="36">
        <v>10</v>
      </c>
      <c r="H344" s="37">
        <f>+F344/G344</f>
        <v>13.409549999999999</v>
      </c>
      <c r="I344" s="35">
        <v>22.126650999999999</v>
      </c>
      <c r="J344" s="35">
        <v>2720.1480099999999</v>
      </c>
      <c r="K344" s="35">
        <v>0</v>
      </c>
      <c r="L344" s="35">
        <v>36.985182000000002</v>
      </c>
      <c r="M344" s="35">
        <v>88.182415000000006</v>
      </c>
      <c r="N344" s="37">
        <f>+M344-O344</f>
        <v>7.6520000000002142E-2</v>
      </c>
      <c r="O344" s="35">
        <v>88.105895000000004</v>
      </c>
      <c r="P344" s="38">
        <v>0</v>
      </c>
      <c r="Q344" s="38">
        <v>0</v>
      </c>
      <c r="R344" s="39">
        <f>SUM(P344:Q344)</f>
        <v>0</v>
      </c>
      <c r="S344" s="38"/>
      <c r="T344" s="40">
        <v>698</v>
      </c>
    </row>
    <row r="345" spans="2:20" ht="15.6" x14ac:dyDescent="0.3">
      <c r="B345" s="59">
        <f>+B344+1</f>
        <v>2</v>
      </c>
      <c r="C345" s="59" t="s">
        <v>549</v>
      </c>
      <c r="D345" s="33" t="s">
        <v>550</v>
      </c>
      <c r="E345" s="34">
        <v>45107</v>
      </c>
      <c r="F345" s="35">
        <f>366.321085*G345</f>
        <v>3663.2108499999999</v>
      </c>
      <c r="G345" s="36">
        <v>10</v>
      </c>
      <c r="H345" s="37">
        <f>+F345/G345</f>
        <v>366.32108499999998</v>
      </c>
      <c r="I345" s="35">
        <v>-16940.914000000001</v>
      </c>
      <c r="J345" s="35">
        <v>6291.7129999999997</v>
      </c>
      <c r="K345" s="35">
        <v>0</v>
      </c>
      <c r="L345" s="35">
        <v>1743.296</v>
      </c>
      <c r="M345" s="35">
        <v>-2259.623</v>
      </c>
      <c r="N345" s="37">
        <f>+M345-O345</f>
        <v>-67.695000000000164</v>
      </c>
      <c r="O345" s="35">
        <v>-2191.9279999999999</v>
      </c>
      <c r="P345" s="38">
        <v>0</v>
      </c>
      <c r="Q345" s="38">
        <v>0</v>
      </c>
      <c r="R345" s="39">
        <f>SUM(P345:Q345)</f>
        <v>0</v>
      </c>
      <c r="S345" s="38"/>
      <c r="T345" s="40">
        <v>20957</v>
      </c>
    </row>
    <row r="346" spans="2:20" ht="15.6" x14ac:dyDescent="0.3">
      <c r="B346" s="59">
        <f t="shared" ref="B346:B347" si="64">+B345+1</f>
        <v>3</v>
      </c>
      <c r="C346" s="59" t="s">
        <v>551</v>
      </c>
      <c r="D346" s="33" t="s">
        <v>552</v>
      </c>
      <c r="E346" s="34">
        <v>45107</v>
      </c>
      <c r="F346" s="35"/>
      <c r="G346" s="36">
        <v>10</v>
      </c>
      <c r="H346" s="37">
        <f>+F346/G346</f>
        <v>0</v>
      </c>
      <c r="I346" s="35"/>
      <c r="J346" s="35"/>
      <c r="K346" s="35"/>
      <c r="L346" s="35"/>
      <c r="M346" s="35"/>
      <c r="N346" s="37">
        <f>+M346-O346</f>
        <v>0</v>
      </c>
      <c r="O346" s="35"/>
      <c r="P346" s="38"/>
      <c r="Q346" s="38"/>
      <c r="R346" s="39">
        <f>SUM(P346:Q346)</f>
        <v>0</v>
      </c>
      <c r="S346" s="38"/>
      <c r="T346" s="40"/>
    </row>
    <row r="347" spans="2:20" ht="15.6" x14ac:dyDescent="0.3">
      <c r="B347" s="59">
        <f t="shared" si="64"/>
        <v>4</v>
      </c>
      <c r="C347" s="59" t="s">
        <v>553</v>
      </c>
      <c r="D347" s="33" t="s">
        <v>554</v>
      </c>
      <c r="E347" s="34">
        <v>45107</v>
      </c>
      <c r="F347" s="35">
        <f>15*G347</f>
        <v>150</v>
      </c>
      <c r="G347" s="36">
        <v>10</v>
      </c>
      <c r="H347" s="37">
        <f>+F347/G347</f>
        <v>15</v>
      </c>
      <c r="I347" s="35">
        <v>951.71134199999995</v>
      </c>
      <c r="J347" s="35">
        <v>1522.413202</v>
      </c>
      <c r="K347" s="35">
        <v>22.138658</v>
      </c>
      <c r="L347" s="35">
        <v>2.0979999999999999E-2</v>
      </c>
      <c r="M347" s="35">
        <v>-7.1194100000000002</v>
      </c>
      <c r="N347" s="37">
        <f>+M347-O347</f>
        <v>1.2400539999999989</v>
      </c>
      <c r="O347" s="35">
        <v>-8.3594639999999991</v>
      </c>
      <c r="P347" s="38">
        <v>0</v>
      </c>
      <c r="Q347" s="38">
        <v>0</v>
      </c>
      <c r="R347" s="39">
        <f>SUM(P347:Q347)</f>
        <v>0</v>
      </c>
      <c r="S347" s="38"/>
      <c r="T347" s="40">
        <v>8</v>
      </c>
    </row>
    <row r="348" spans="2:20" ht="15.6" x14ac:dyDescent="0.3">
      <c r="B348" s="61"/>
      <c r="C348" s="61"/>
      <c r="D348" s="63"/>
      <c r="E348" s="64"/>
      <c r="F348" s="65"/>
      <c r="G348" s="42"/>
      <c r="H348" s="66"/>
      <c r="I348" s="65"/>
      <c r="J348" s="65"/>
      <c r="K348" s="65"/>
      <c r="L348" s="65"/>
      <c r="M348" s="65"/>
      <c r="N348" s="66"/>
      <c r="O348" s="65"/>
      <c r="P348" s="67"/>
      <c r="Q348" s="67"/>
      <c r="R348" s="68"/>
      <c r="S348" s="67"/>
      <c r="T348" s="69"/>
    </row>
    <row r="349" spans="2:20" ht="15.6" x14ac:dyDescent="0.3">
      <c r="B349" s="46">
        <f>COUNT(B336:B348)</f>
        <v>10</v>
      </c>
      <c r="C349" s="46"/>
      <c r="D349" s="47"/>
      <c r="E349" s="47"/>
      <c r="F349" s="47">
        <f>SUM(F336:F348)</f>
        <v>11019.270640000001</v>
      </c>
      <c r="G349" s="48"/>
      <c r="H349" s="49">
        <f>SUM(H336:H348)</f>
        <v>1101.927064</v>
      </c>
      <c r="I349" s="47">
        <f>SUM(I336:I348)</f>
        <v>61739.380205999994</v>
      </c>
      <c r="J349" s="47">
        <f>SUM(J336:J348)</f>
        <v>164280.41665399997</v>
      </c>
      <c r="K349" s="47">
        <f>SUM(K336:K348)</f>
        <v>176942.50630300003</v>
      </c>
      <c r="L349" s="47">
        <f>SUM(L336:L348)</f>
        <v>5626.5306330000003</v>
      </c>
      <c r="M349" s="47">
        <f>SUM(M336:M348)</f>
        <v>3647.1275760000008</v>
      </c>
      <c r="N349" s="50">
        <f>SUM(N336:N348)</f>
        <v>4452.7851059999994</v>
      </c>
      <c r="O349" s="47">
        <f>SUM(O336:O348)</f>
        <v>-805.65753000000007</v>
      </c>
      <c r="P349" s="51"/>
      <c r="Q349" s="51"/>
      <c r="R349" s="52"/>
      <c r="S349" s="51"/>
      <c r="T349" s="53">
        <f>SUM(T336:T348)</f>
        <v>34221</v>
      </c>
    </row>
    <row r="350" spans="2:20" ht="15.6" x14ac:dyDescent="0.3">
      <c r="B350" s="61"/>
      <c r="C350" s="61"/>
      <c r="D350" s="63"/>
      <c r="E350" s="64"/>
      <c r="F350" s="65"/>
      <c r="G350" s="42"/>
      <c r="H350" s="66"/>
      <c r="I350" s="65"/>
      <c r="J350" s="65"/>
      <c r="K350" s="65"/>
      <c r="L350" s="65"/>
      <c r="M350" s="65"/>
      <c r="N350" s="66"/>
      <c r="O350" s="65"/>
      <c r="P350" s="67"/>
      <c r="Q350" s="67"/>
      <c r="R350" s="68"/>
      <c r="S350" s="67"/>
      <c r="T350" s="69"/>
    </row>
    <row r="351" spans="2:20" ht="15.6" x14ac:dyDescent="0.3">
      <c r="B351" s="61"/>
      <c r="C351" s="61"/>
      <c r="D351" s="63"/>
      <c r="E351" s="64"/>
      <c r="F351" s="65"/>
      <c r="G351" s="42"/>
      <c r="H351" s="66"/>
      <c r="I351" s="65"/>
      <c r="J351" s="65"/>
      <c r="K351" s="65"/>
      <c r="L351" s="65"/>
      <c r="M351" s="65"/>
      <c r="N351" s="66"/>
      <c r="O351" s="65"/>
      <c r="P351" s="67"/>
      <c r="Q351" s="67"/>
      <c r="R351" s="68"/>
      <c r="S351" s="67"/>
      <c r="T351" s="69"/>
    </row>
    <row r="352" spans="2:20" ht="18" x14ac:dyDescent="0.35">
      <c r="B352" s="27"/>
      <c r="C352" s="31">
        <v>13</v>
      </c>
      <c r="D352" s="31" t="s">
        <v>555</v>
      </c>
      <c r="E352" s="60"/>
      <c r="F352" s="60"/>
      <c r="G352" s="42"/>
      <c r="H352" s="43"/>
      <c r="I352" s="29"/>
      <c r="J352" s="29"/>
      <c r="K352" s="29"/>
      <c r="L352" s="29"/>
      <c r="M352" s="29"/>
      <c r="N352" s="44"/>
      <c r="O352" s="29"/>
      <c r="P352" s="29"/>
      <c r="Q352" s="29"/>
      <c r="R352" s="44"/>
      <c r="S352" s="29"/>
      <c r="T352" s="29"/>
    </row>
    <row r="353" spans="2:20" ht="15.6" x14ac:dyDescent="0.3">
      <c r="B353" s="61"/>
      <c r="C353" s="61"/>
      <c r="D353" s="63"/>
      <c r="E353" s="64"/>
      <c r="F353" s="65"/>
      <c r="G353" s="42"/>
      <c r="H353" s="66"/>
      <c r="I353" s="65"/>
      <c r="J353" s="65"/>
      <c r="K353" s="65"/>
      <c r="L353" s="65"/>
      <c r="M353" s="65"/>
      <c r="N353" s="66"/>
      <c r="O353" s="65"/>
      <c r="P353" s="67"/>
      <c r="Q353" s="67"/>
      <c r="R353" s="68"/>
      <c r="S353" s="67"/>
      <c r="T353" s="69"/>
    </row>
    <row r="354" spans="2:20" ht="18" x14ac:dyDescent="0.35">
      <c r="B354" s="61"/>
      <c r="C354" s="61"/>
      <c r="D354" s="55" t="s">
        <v>43</v>
      </c>
      <c r="E354" s="64"/>
      <c r="F354" s="65"/>
      <c r="G354" s="42"/>
      <c r="H354" s="66"/>
      <c r="I354" s="65"/>
      <c r="J354" s="65"/>
      <c r="K354" s="65"/>
      <c r="L354" s="65"/>
      <c r="M354" s="65"/>
      <c r="N354" s="66"/>
      <c r="O354" s="65"/>
      <c r="P354" s="67"/>
      <c r="Q354" s="67"/>
      <c r="R354" s="68"/>
      <c r="S354" s="67"/>
      <c r="T354" s="69"/>
    </row>
    <row r="355" spans="2:20" ht="15.6" x14ac:dyDescent="0.3">
      <c r="B355" s="59">
        <v>1</v>
      </c>
      <c r="C355" s="59" t="s">
        <v>556</v>
      </c>
      <c r="D355" s="33" t="s">
        <v>557</v>
      </c>
      <c r="E355" s="34">
        <v>45107</v>
      </c>
      <c r="F355" s="35">
        <f>23.763468*G355</f>
        <v>237.63468</v>
      </c>
      <c r="G355" s="36">
        <v>10</v>
      </c>
      <c r="H355" s="37">
        <f>+F355/G355</f>
        <v>23.763468</v>
      </c>
      <c r="I355" s="35">
        <v>-188.58639099999999</v>
      </c>
      <c r="J355" s="35">
        <v>4.4075879999999996</v>
      </c>
      <c r="K355" s="35">
        <v>0</v>
      </c>
      <c r="L355" s="35">
        <v>3.4359000000000001E-2</v>
      </c>
      <c r="M355" s="35">
        <v>-9.0548929999999999</v>
      </c>
      <c r="N355" s="37">
        <f>+M355-O355</f>
        <v>0.10684499999999986</v>
      </c>
      <c r="O355" s="35">
        <v>-9.1617379999999997</v>
      </c>
      <c r="P355" s="38">
        <v>0</v>
      </c>
      <c r="Q355" s="38">
        <v>0</v>
      </c>
      <c r="R355" s="39">
        <f>SUM(P355:Q355)</f>
        <v>0</v>
      </c>
      <c r="S355" s="38"/>
      <c r="T355" s="40">
        <v>2163</v>
      </c>
    </row>
    <row r="356" spans="2:20" ht="15.6" x14ac:dyDescent="0.3">
      <c r="B356" s="59">
        <f>+B355+1</f>
        <v>2</v>
      </c>
      <c r="C356" s="59" t="s">
        <v>558</v>
      </c>
      <c r="D356" s="33" t="s">
        <v>559</v>
      </c>
      <c r="E356" s="34">
        <v>45107</v>
      </c>
      <c r="F356" s="35">
        <f>4.332819*G356</f>
        <v>43.328189999999999</v>
      </c>
      <c r="G356" s="36">
        <v>10</v>
      </c>
      <c r="H356" s="37">
        <f>+F356/G356</f>
        <v>4.3328189999999998</v>
      </c>
      <c r="I356" s="35">
        <v>702.59478799999999</v>
      </c>
      <c r="J356" s="35">
        <v>1499.302508</v>
      </c>
      <c r="K356" s="35">
        <v>0</v>
      </c>
      <c r="L356" s="35">
        <v>14.150243</v>
      </c>
      <c r="M356" s="35">
        <v>-68.183200999999997</v>
      </c>
      <c r="N356" s="37">
        <f>+M356-O356</f>
        <v>0</v>
      </c>
      <c r="O356" s="35">
        <v>-68.183200999999997</v>
      </c>
      <c r="P356" s="38">
        <v>0</v>
      </c>
      <c r="Q356" s="38">
        <v>0</v>
      </c>
      <c r="R356" s="39">
        <f>SUM(P356:Q356)</f>
        <v>0</v>
      </c>
      <c r="S356" s="38"/>
      <c r="T356" s="40">
        <v>1372</v>
      </c>
    </row>
    <row r="357" spans="2:20" ht="15.6" x14ac:dyDescent="0.3">
      <c r="B357" s="86">
        <f>COUNT(B355:B356)</f>
        <v>2</v>
      </c>
      <c r="C357" s="46"/>
      <c r="D357" s="47"/>
      <c r="E357" s="47"/>
      <c r="F357" s="47">
        <f>SUM(F355:F356)</f>
        <v>280.96287000000001</v>
      </c>
      <c r="G357" s="48"/>
      <c r="H357" s="49">
        <f t="shared" ref="H357:O357" si="65">SUM(H355:H356)</f>
        <v>28.096287</v>
      </c>
      <c r="I357" s="47">
        <f t="shared" si="65"/>
        <v>514.00839700000006</v>
      </c>
      <c r="J357" s="47">
        <f t="shared" si="65"/>
        <v>1503.710096</v>
      </c>
      <c r="K357" s="47">
        <f t="shared" si="65"/>
        <v>0</v>
      </c>
      <c r="L357" s="47">
        <f t="shared" si="65"/>
        <v>14.184602</v>
      </c>
      <c r="M357" s="47">
        <f t="shared" si="65"/>
        <v>-77.23809399999999</v>
      </c>
      <c r="N357" s="50">
        <f t="shared" si="65"/>
        <v>0.10684499999999986</v>
      </c>
      <c r="O357" s="47">
        <f t="shared" si="65"/>
        <v>-77.344938999999997</v>
      </c>
      <c r="P357" s="51"/>
      <c r="Q357" s="51"/>
      <c r="R357" s="52"/>
      <c r="S357" s="51"/>
      <c r="T357" s="53">
        <f>SUM(T355:T356)</f>
        <v>3535</v>
      </c>
    </row>
    <row r="358" spans="2:20" ht="15.6" x14ac:dyDescent="0.3">
      <c r="B358" s="61"/>
      <c r="C358" s="61"/>
      <c r="D358" s="63"/>
      <c r="E358" s="64"/>
      <c r="F358" s="65"/>
      <c r="G358" s="42"/>
      <c r="H358" s="66"/>
      <c r="I358" s="65"/>
      <c r="J358" s="65"/>
      <c r="K358" s="65"/>
      <c r="L358" s="65"/>
      <c r="M358" s="65"/>
      <c r="N358" s="66"/>
      <c r="O358" s="65"/>
      <c r="P358" s="67"/>
      <c r="Q358" s="67"/>
      <c r="R358" s="68"/>
      <c r="S358" s="67"/>
      <c r="T358" s="69"/>
    </row>
    <row r="359" spans="2:20" ht="15.6" x14ac:dyDescent="0.3">
      <c r="B359" s="61"/>
      <c r="C359" s="61"/>
      <c r="D359" s="63"/>
      <c r="E359" s="64"/>
      <c r="F359" s="65"/>
      <c r="G359" s="42"/>
      <c r="H359" s="66"/>
      <c r="I359" s="65"/>
      <c r="J359" s="65"/>
      <c r="K359" s="65"/>
      <c r="L359" s="65"/>
      <c r="M359" s="65"/>
      <c r="N359" s="66"/>
      <c r="O359" s="65"/>
      <c r="P359" s="67"/>
      <c r="Q359" s="67"/>
      <c r="R359" s="68"/>
      <c r="S359" s="67"/>
      <c r="T359" s="69"/>
    </row>
    <row r="360" spans="2:20" ht="18" x14ac:dyDescent="0.35">
      <c r="B360" s="27"/>
      <c r="C360" s="31">
        <v>14</v>
      </c>
      <c r="D360" s="31" t="s">
        <v>560</v>
      </c>
      <c r="E360" s="60"/>
      <c r="F360" s="60"/>
      <c r="G360" s="42"/>
      <c r="H360" s="43"/>
      <c r="I360" s="29"/>
      <c r="J360" s="29"/>
      <c r="K360" s="29"/>
      <c r="L360" s="29"/>
      <c r="M360" s="29"/>
      <c r="N360" s="44"/>
      <c r="O360" s="29"/>
      <c r="P360" s="29"/>
      <c r="Q360" s="29"/>
      <c r="R360" s="44"/>
      <c r="S360" s="29"/>
      <c r="T360" s="29"/>
    </row>
    <row r="361" spans="2:20" ht="15.6" x14ac:dyDescent="0.3">
      <c r="B361" s="61"/>
      <c r="C361" s="61"/>
      <c r="D361" s="63"/>
      <c r="E361" s="64"/>
      <c r="F361" s="65"/>
      <c r="G361" s="42"/>
      <c r="H361" s="66"/>
      <c r="I361" s="65"/>
      <c r="J361" s="65"/>
      <c r="K361" s="65"/>
      <c r="L361" s="65"/>
      <c r="M361" s="65"/>
      <c r="N361" s="66"/>
      <c r="O361" s="65"/>
      <c r="P361" s="67"/>
      <c r="Q361" s="67"/>
      <c r="R361" s="68"/>
      <c r="S361" s="67"/>
      <c r="T361" s="69"/>
    </row>
    <row r="362" spans="2:20" ht="15.6" x14ac:dyDescent="0.3">
      <c r="B362" s="32">
        <v>1</v>
      </c>
      <c r="C362" s="32" t="s">
        <v>561</v>
      </c>
      <c r="D362" s="33" t="s">
        <v>562</v>
      </c>
      <c r="E362" s="34">
        <v>45199</v>
      </c>
      <c r="F362" s="35">
        <v>173.62299999999999</v>
      </c>
      <c r="G362" s="36">
        <v>10</v>
      </c>
      <c r="H362" s="37">
        <f t="shared" ref="H362:H385" si="66">+F362/G362</f>
        <v>17.362299999999998</v>
      </c>
      <c r="I362" s="35">
        <v>6922.8239999999996</v>
      </c>
      <c r="J362" s="35">
        <v>12445.606</v>
      </c>
      <c r="K362" s="35">
        <v>14569.235000000001</v>
      </c>
      <c r="L362" s="35">
        <v>377.827</v>
      </c>
      <c r="M362" s="35">
        <v>4004.28</v>
      </c>
      <c r="N362" s="37">
        <f t="shared" ref="N362:N385" si="67">+M362-O362</f>
        <v>319.66300000000001</v>
      </c>
      <c r="O362" s="35">
        <v>3684.6170000000002</v>
      </c>
      <c r="P362" s="38">
        <f>100+150+250+60</f>
        <v>560</v>
      </c>
      <c r="Q362" s="38">
        <v>0</v>
      </c>
      <c r="R362" s="39">
        <f t="shared" ref="R362:R385" si="68">SUM(P362:Q362)</f>
        <v>560</v>
      </c>
      <c r="S362" s="38"/>
      <c r="T362" s="40">
        <v>1004</v>
      </c>
    </row>
    <row r="363" spans="2:20" ht="15.6" x14ac:dyDescent="0.3">
      <c r="B363" s="32">
        <f>+B362+1</f>
        <v>2</v>
      </c>
      <c r="C363" s="32" t="s">
        <v>563</v>
      </c>
      <c r="D363" s="45" t="s">
        <v>564</v>
      </c>
      <c r="E363" s="34">
        <v>45199</v>
      </c>
      <c r="F363" s="35">
        <v>172.90961999999999</v>
      </c>
      <c r="G363" s="36">
        <v>10</v>
      </c>
      <c r="H363" s="37">
        <f t="shared" si="66"/>
        <v>17.290962</v>
      </c>
      <c r="I363" s="35">
        <v>5483.6016129999998</v>
      </c>
      <c r="J363" s="35">
        <v>8811.3420079999996</v>
      </c>
      <c r="K363" s="35">
        <v>5426.3943179999997</v>
      </c>
      <c r="L363" s="35">
        <v>278.54639100000003</v>
      </c>
      <c r="M363" s="35">
        <v>156.306197</v>
      </c>
      <c r="N363" s="37">
        <f t="shared" si="67"/>
        <v>54.982486999999992</v>
      </c>
      <c r="O363" s="35">
        <v>101.32371000000001</v>
      </c>
      <c r="P363" s="38">
        <f>15+35</f>
        <v>50</v>
      </c>
      <c r="Q363" s="38">
        <v>0</v>
      </c>
      <c r="R363" s="39">
        <f t="shared" si="68"/>
        <v>50</v>
      </c>
      <c r="S363" s="38"/>
      <c r="T363" s="40"/>
    </row>
    <row r="364" spans="2:20" ht="15.6" x14ac:dyDescent="0.3">
      <c r="B364" s="32">
        <f t="shared" ref="B364:B381" si="69">+B363+1</f>
        <v>3</v>
      </c>
      <c r="C364" s="32" t="s">
        <v>565</v>
      </c>
      <c r="D364" s="33" t="s">
        <v>566</v>
      </c>
      <c r="E364" s="34">
        <v>45199</v>
      </c>
      <c r="F364" s="35">
        <v>792.61666000000002</v>
      </c>
      <c r="G364" s="36">
        <v>10</v>
      </c>
      <c r="H364" s="37">
        <f t="shared" si="66"/>
        <v>79.261666000000005</v>
      </c>
      <c r="I364" s="35">
        <v>-456.37247000000002</v>
      </c>
      <c r="J364" s="35">
        <v>3542.582852</v>
      </c>
      <c r="K364" s="35">
        <v>385.28215399999999</v>
      </c>
      <c r="L364" s="35">
        <v>149.876373</v>
      </c>
      <c r="M364" s="35">
        <v>-193.46824599999999</v>
      </c>
      <c r="N364" s="37">
        <f t="shared" si="67"/>
        <v>90.145519000000007</v>
      </c>
      <c r="O364" s="35">
        <v>-283.613765</v>
      </c>
      <c r="P364" s="38">
        <v>0</v>
      </c>
      <c r="Q364" s="38">
        <v>0</v>
      </c>
      <c r="R364" s="39">
        <f t="shared" si="68"/>
        <v>0</v>
      </c>
      <c r="S364" s="38"/>
      <c r="T364" s="40">
        <v>1946</v>
      </c>
    </row>
    <row r="365" spans="2:20" ht="15.6" x14ac:dyDescent="0.3">
      <c r="B365" s="32">
        <f t="shared" si="69"/>
        <v>4</v>
      </c>
      <c r="C365" s="32" t="s">
        <v>567</v>
      </c>
      <c r="D365" s="33" t="s">
        <v>568</v>
      </c>
      <c r="E365" s="34">
        <v>45199</v>
      </c>
      <c r="F365" s="35">
        <v>204.73699999999999</v>
      </c>
      <c r="G365" s="36">
        <v>10</v>
      </c>
      <c r="H365" s="37">
        <f t="shared" si="66"/>
        <v>20.473700000000001</v>
      </c>
      <c r="I365" s="35">
        <v>7683.9639999999999</v>
      </c>
      <c r="J365" s="35">
        <v>18113.423999999999</v>
      </c>
      <c r="K365" s="35">
        <v>13122.46</v>
      </c>
      <c r="L365" s="35">
        <v>1231.5519999999999</v>
      </c>
      <c r="M365" s="35">
        <v>478.30200000000002</v>
      </c>
      <c r="N365" s="37">
        <f t="shared" si="67"/>
        <v>182.95800000000003</v>
      </c>
      <c r="O365" s="35">
        <v>295.34399999999999</v>
      </c>
      <c r="P365" s="38">
        <v>90</v>
      </c>
      <c r="Q365" s="38">
        <v>0</v>
      </c>
      <c r="R365" s="39">
        <f t="shared" si="68"/>
        <v>90</v>
      </c>
      <c r="S365" s="38"/>
      <c r="T365" s="40">
        <v>1116</v>
      </c>
    </row>
    <row r="366" spans="2:20" ht="15.6" x14ac:dyDescent="0.3">
      <c r="B366" s="32">
        <f t="shared" si="69"/>
        <v>5</v>
      </c>
      <c r="C366" s="32" t="s">
        <v>569</v>
      </c>
      <c r="D366" s="33" t="s">
        <v>570</v>
      </c>
      <c r="E366" s="34">
        <v>45199</v>
      </c>
      <c r="F366" s="35">
        <f>9.45*G366</f>
        <v>94.5</v>
      </c>
      <c r="G366" s="36">
        <v>10</v>
      </c>
      <c r="H366" s="37">
        <f t="shared" si="66"/>
        <v>9.4499999999999993</v>
      </c>
      <c r="I366" s="35">
        <v>2861.797204</v>
      </c>
      <c r="J366" s="35">
        <v>4917.8012349999999</v>
      </c>
      <c r="K366" s="35">
        <v>4543.1392219999998</v>
      </c>
      <c r="L366" s="35">
        <v>350.43337400000001</v>
      </c>
      <c r="M366" s="35">
        <v>92.585667000000001</v>
      </c>
      <c r="N366" s="37">
        <f t="shared" si="67"/>
        <v>1.8884039999999942</v>
      </c>
      <c r="O366" s="35">
        <v>90.697263000000007</v>
      </c>
      <c r="P366" s="38">
        <v>0</v>
      </c>
      <c r="Q366" s="38">
        <v>0</v>
      </c>
      <c r="R366" s="39">
        <f t="shared" si="68"/>
        <v>0</v>
      </c>
      <c r="S366" s="38"/>
      <c r="T366" s="40">
        <v>1090</v>
      </c>
    </row>
    <row r="367" spans="2:20" ht="15.6" x14ac:dyDescent="0.3">
      <c r="B367" s="32">
        <f t="shared" si="69"/>
        <v>6</v>
      </c>
      <c r="C367" s="32" t="s">
        <v>571</v>
      </c>
      <c r="D367" s="33" t="s">
        <v>572</v>
      </c>
      <c r="E367" s="34">
        <v>45199</v>
      </c>
      <c r="F367" s="35">
        <v>286.92</v>
      </c>
      <c r="G367" s="36">
        <v>10</v>
      </c>
      <c r="H367" s="37">
        <f t="shared" si="66"/>
        <v>28.692</v>
      </c>
      <c r="I367" s="35">
        <v>14538.096</v>
      </c>
      <c r="J367" s="35">
        <v>31577.766</v>
      </c>
      <c r="K367" s="35">
        <v>26375.717000000001</v>
      </c>
      <c r="L367" s="35">
        <v>2738.3679999999999</v>
      </c>
      <c r="M367" s="35">
        <v>1579.28</v>
      </c>
      <c r="N367" s="37">
        <f t="shared" si="67"/>
        <v>-119.85899999999992</v>
      </c>
      <c r="O367" s="35">
        <v>1699.1389999999999</v>
      </c>
      <c r="P367" s="38">
        <v>50</v>
      </c>
      <c r="Q367" s="38">
        <v>0</v>
      </c>
      <c r="R367" s="39">
        <f t="shared" si="68"/>
        <v>50</v>
      </c>
      <c r="S367" s="38"/>
      <c r="T367" s="40">
        <v>989</v>
      </c>
    </row>
    <row r="368" spans="2:20" ht="15.6" x14ac:dyDescent="0.3">
      <c r="B368" s="32">
        <f t="shared" si="69"/>
        <v>7</v>
      </c>
      <c r="C368" s="32" t="s">
        <v>573</v>
      </c>
      <c r="D368" s="33" t="s">
        <v>574</v>
      </c>
      <c r="E368" s="34">
        <v>45199</v>
      </c>
      <c r="F368" s="35">
        <v>250.06954999999999</v>
      </c>
      <c r="G368" s="36">
        <v>10</v>
      </c>
      <c r="H368" s="37">
        <f t="shared" si="66"/>
        <v>25.006954999999998</v>
      </c>
      <c r="I368" s="35">
        <v>3001.0257150000002</v>
      </c>
      <c r="J368" s="35">
        <v>7813.815415</v>
      </c>
      <c r="K368" s="35">
        <v>9336.7235669999991</v>
      </c>
      <c r="L368" s="35">
        <v>779.78146800000002</v>
      </c>
      <c r="M368" s="35">
        <v>1494.7997760000001</v>
      </c>
      <c r="N368" s="37">
        <f t="shared" si="67"/>
        <v>274.77343900000005</v>
      </c>
      <c r="O368" s="35">
        <v>1220.026337</v>
      </c>
      <c r="P368" s="38">
        <v>25</v>
      </c>
      <c r="Q368" s="38">
        <v>0</v>
      </c>
      <c r="R368" s="39">
        <f t="shared" si="68"/>
        <v>25</v>
      </c>
      <c r="S368" s="38"/>
      <c r="T368" s="40">
        <v>2014</v>
      </c>
    </row>
    <row r="369" spans="2:20" ht="15.6" x14ac:dyDescent="0.3">
      <c r="B369" s="32">
        <f t="shared" si="69"/>
        <v>8</v>
      </c>
      <c r="C369" s="32" t="s">
        <v>575</v>
      </c>
      <c r="D369" s="33" t="s">
        <v>576</v>
      </c>
      <c r="E369" s="34">
        <v>45199</v>
      </c>
      <c r="F369" s="35">
        <f>150*G369</f>
        <v>750</v>
      </c>
      <c r="G369" s="36">
        <v>5</v>
      </c>
      <c r="H369" s="37">
        <f t="shared" si="66"/>
        <v>150</v>
      </c>
      <c r="I369" s="35">
        <v>11315.406000000001</v>
      </c>
      <c r="J369" s="35">
        <v>17709.059000000001</v>
      </c>
      <c r="K369" s="35">
        <v>19985.027999999998</v>
      </c>
      <c r="L369" s="35">
        <v>28.396999999999998</v>
      </c>
      <c r="M369" s="35">
        <v>3266.4780000000001</v>
      </c>
      <c r="N369" s="37">
        <f t="shared" si="67"/>
        <v>725</v>
      </c>
      <c r="O369" s="35">
        <v>2541.4780000000001</v>
      </c>
      <c r="P369" s="38">
        <v>120</v>
      </c>
      <c r="Q369" s="38">
        <v>0</v>
      </c>
      <c r="R369" s="39">
        <f t="shared" si="68"/>
        <v>120</v>
      </c>
      <c r="S369" s="38"/>
      <c r="T369" s="40">
        <v>4545</v>
      </c>
    </row>
    <row r="370" spans="2:20" ht="15.6" x14ac:dyDescent="0.3">
      <c r="B370" s="32">
        <f t="shared" si="69"/>
        <v>9</v>
      </c>
      <c r="C370" s="32" t="s">
        <v>577</v>
      </c>
      <c r="D370" s="33" t="s">
        <v>578</v>
      </c>
      <c r="E370" s="34">
        <v>45107</v>
      </c>
      <c r="F370" s="35">
        <v>200</v>
      </c>
      <c r="G370" s="36">
        <v>5</v>
      </c>
      <c r="H370" s="37">
        <f t="shared" si="66"/>
        <v>40</v>
      </c>
      <c r="I370" s="35">
        <v>1101.84727</v>
      </c>
      <c r="J370" s="35">
        <v>1560.0449779999999</v>
      </c>
      <c r="K370" s="35">
        <v>2534.0158299999998</v>
      </c>
      <c r="L370" s="35">
        <v>17.775642000000001</v>
      </c>
      <c r="M370" s="35">
        <v>370.047571</v>
      </c>
      <c r="N370" s="37">
        <f t="shared" si="67"/>
        <v>36.983677</v>
      </c>
      <c r="O370" s="35">
        <v>333.063894</v>
      </c>
      <c r="P370" s="38">
        <f>40+30</f>
        <v>70</v>
      </c>
      <c r="Q370" s="38">
        <v>0</v>
      </c>
      <c r="R370" s="39">
        <f t="shared" si="68"/>
        <v>70</v>
      </c>
      <c r="S370" s="38"/>
      <c r="T370" s="40">
        <v>2342</v>
      </c>
    </row>
    <row r="371" spans="2:20" ht="15.6" x14ac:dyDescent="0.3">
      <c r="B371" s="32">
        <f t="shared" si="69"/>
        <v>10</v>
      </c>
      <c r="C371" s="32" t="s">
        <v>579</v>
      </c>
      <c r="D371" s="33" t="s">
        <v>580</v>
      </c>
      <c r="E371" s="34">
        <v>45199</v>
      </c>
      <c r="F371" s="35">
        <v>577.76661000000001</v>
      </c>
      <c r="G371" s="36">
        <v>10</v>
      </c>
      <c r="H371" s="37">
        <f t="shared" si="66"/>
        <v>57.776661000000004</v>
      </c>
      <c r="I371" s="35">
        <v>15991.378866999999</v>
      </c>
      <c r="J371" s="35">
        <v>51900.617812999997</v>
      </c>
      <c r="K371" s="35">
        <v>72343.105895999994</v>
      </c>
      <c r="L371" s="35">
        <v>5453.3288640000001</v>
      </c>
      <c r="M371" s="35">
        <v>3064.7476390000002</v>
      </c>
      <c r="N371" s="37">
        <f t="shared" si="67"/>
        <v>898.65356100000008</v>
      </c>
      <c r="O371" s="35">
        <v>2166.0940780000001</v>
      </c>
      <c r="P371" s="38">
        <f>100+150+150</f>
        <v>400</v>
      </c>
      <c r="Q371" s="38">
        <v>0</v>
      </c>
      <c r="R371" s="39">
        <f t="shared" si="68"/>
        <v>400</v>
      </c>
      <c r="S371" s="38"/>
      <c r="T371" s="40">
        <v>1203</v>
      </c>
    </row>
    <row r="372" spans="2:20" ht="15.6" x14ac:dyDescent="0.3">
      <c r="B372" s="32">
        <f t="shared" si="69"/>
        <v>11</v>
      </c>
      <c r="C372" s="32" t="s">
        <v>581</v>
      </c>
      <c r="D372" s="33" t="s">
        <v>582</v>
      </c>
      <c r="E372" s="34">
        <v>45199</v>
      </c>
      <c r="F372" s="35">
        <v>341.28453000000002</v>
      </c>
      <c r="G372" s="36">
        <v>10</v>
      </c>
      <c r="H372" s="37">
        <f t="shared" si="66"/>
        <v>34.128453</v>
      </c>
      <c r="I372" s="35">
        <v>8864.928269</v>
      </c>
      <c r="J372" s="35">
        <f>9818.039276+2418.903556</f>
        <v>12236.942832000001</v>
      </c>
      <c r="K372" s="35">
        <v>6925.8931030000003</v>
      </c>
      <c r="L372" s="35">
        <v>560.13633600000003</v>
      </c>
      <c r="M372" s="35">
        <v>266.23788500000001</v>
      </c>
      <c r="N372" s="37">
        <f t="shared" si="67"/>
        <v>54.005040000000008</v>
      </c>
      <c r="O372" s="35">
        <v>212.232845</v>
      </c>
      <c r="P372" s="38">
        <v>10</v>
      </c>
      <c r="Q372" s="38">
        <v>0</v>
      </c>
      <c r="R372" s="39">
        <f t="shared" si="68"/>
        <v>10</v>
      </c>
      <c r="S372" s="38"/>
      <c r="T372" s="40">
        <v>1237</v>
      </c>
    </row>
    <row r="373" spans="2:20" ht="15.6" x14ac:dyDescent="0.3">
      <c r="B373" s="32">
        <f t="shared" si="69"/>
        <v>12</v>
      </c>
      <c r="C373" s="32" t="s">
        <v>583</v>
      </c>
      <c r="D373" s="33" t="s">
        <v>584</v>
      </c>
      <c r="E373" s="34">
        <v>45199</v>
      </c>
      <c r="F373" s="35">
        <v>160.17500000000001</v>
      </c>
      <c r="G373" s="36">
        <v>10</v>
      </c>
      <c r="H373" s="37">
        <f t="shared" si="66"/>
        <v>16.017500000000002</v>
      </c>
      <c r="I373" s="35">
        <v>4005.1030000000001</v>
      </c>
      <c r="J373" s="35">
        <v>8748.1740000000009</v>
      </c>
      <c r="K373" s="35">
        <v>4487.2039999999997</v>
      </c>
      <c r="L373" s="35">
        <v>414.71600000000001</v>
      </c>
      <c r="M373" s="35">
        <v>113.458</v>
      </c>
      <c r="N373" s="37">
        <f t="shared" si="67"/>
        <v>96.1</v>
      </c>
      <c r="O373" s="35">
        <v>17.358000000000001</v>
      </c>
      <c r="P373" s="38">
        <v>0</v>
      </c>
      <c r="Q373" s="38">
        <v>0</v>
      </c>
      <c r="R373" s="39">
        <f t="shared" si="68"/>
        <v>0</v>
      </c>
      <c r="S373" s="38"/>
      <c r="T373" s="40">
        <v>210</v>
      </c>
    </row>
    <row r="374" spans="2:20" ht="15.6" x14ac:dyDescent="0.3">
      <c r="B374" s="32">
        <f t="shared" si="69"/>
        <v>13</v>
      </c>
      <c r="C374" s="32" t="s">
        <v>585</v>
      </c>
      <c r="D374" s="33" t="s">
        <v>586</v>
      </c>
      <c r="E374" s="34">
        <v>45199</v>
      </c>
      <c r="F374" s="35">
        <v>465.57891000000001</v>
      </c>
      <c r="G374" s="36">
        <v>10</v>
      </c>
      <c r="H374" s="37">
        <f t="shared" si="66"/>
        <v>46.557890999999998</v>
      </c>
      <c r="I374" s="35">
        <v>4092.0129999999999</v>
      </c>
      <c r="J374" s="35">
        <v>13823.945</v>
      </c>
      <c r="K374" s="35">
        <v>7779.4690000000001</v>
      </c>
      <c r="L374" s="35">
        <v>1124.0650000000001</v>
      </c>
      <c r="M374" s="35">
        <v>1054.4169999999999</v>
      </c>
      <c r="N374" s="37">
        <f t="shared" si="67"/>
        <v>215.10099999999989</v>
      </c>
      <c r="O374" s="35">
        <v>839.31600000000003</v>
      </c>
      <c r="P374" s="38">
        <v>0</v>
      </c>
      <c r="Q374" s="38">
        <f>200</f>
        <v>200</v>
      </c>
      <c r="R374" s="39">
        <f t="shared" si="68"/>
        <v>200</v>
      </c>
      <c r="S374" s="38"/>
      <c r="T374" s="40">
        <v>1969</v>
      </c>
    </row>
    <row r="375" spans="2:20" ht="15.6" x14ac:dyDescent="0.3">
      <c r="B375" s="32">
        <f t="shared" si="69"/>
        <v>14</v>
      </c>
      <c r="C375" s="32" t="s">
        <v>587</v>
      </c>
      <c r="D375" s="33" t="s">
        <v>588</v>
      </c>
      <c r="E375" s="34">
        <v>45199</v>
      </c>
      <c r="F375" s="35">
        <v>749.27608999999995</v>
      </c>
      <c r="G375" s="36">
        <v>10</v>
      </c>
      <c r="H375" s="37">
        <f t="shared" si="66"/>
        <v>74.92760899999999</v>
      </c>
      <c r="I375" s="35">
        <v>3879.4500619999999</v>
      </c>
      <c r="J375" s="35">
        <v>6603.4901280000004</v>
      </c>
      <c r="K375" s="35">
        <v>10983.532708999999</v>
      </c>
      <c r="L375" s="35">
        <v>635.30432499999995</v>
      </c>
      <c r="M375" s="35">
        <v>2280.5348920000001</v>
      </c>
      <c r="N375" s="37">
        <f t="shared" si="67"/>
        <v>837.58542800000009</v>
      </c>
      <c r="O375" s="35">
        <v>1442.949464</v>
      </c>
      <c r="P375" s="38">
        <f>15+30+30</f>
        <v>75</v>
      </c>
      <c r="Q375" s="38">
        <f>10</f>
        <v>10</v>
      </c>
      <c r="R375" s="39">
        <f t="shared" si="68"/>
        <v>85</v>
      </c>
      <c r="S375" s="38"/>
      <c r="T375" s="40">
        <v>1685</v>
      </c>
    </row>
    <row r="376" spans="2:20" ht="15.6" x14ac:dyDescent="0.3">
      <c r="B376" s="32">
        <f t="shared" si="69"/>
        <v>15</v>
      </c>
      <c r="C376" s="32" t="s">
        <v>589</v>
      </c>
      <c r="D376" s="33" t="s">
        <v>590</v>
      </c>
      <c r="E376" s="34">
        <v>45199</v>
      </c>
      <c r="F376" s="35">
        <v>165.17456000000001</v>
      </c>
      <c r="G376" s="36">
        <v>10</v>
      </c>
      <c r="H376" s="37">
        <f t="shared" si="66"/>
        <v>16.517456000000003</v>
      </c>
      <c r="I376" s="35">
        <v>2085.6509999999998</v>
      </c>
      <c r="J376" s="35">
        <v>6174.6350000000002</v>
      </c>
      <c r="K376" s="35">
        <v>9280.0310000000009</v>
      </c>
      <c r="L376" s="35">
        <v>717.23299999999995</v>
      </c>
      <c r="M376" s="35">
        <v>526.56700000000001</v>
      </c>
      <c r="N376" s="37">
        <f t="shared" si="67"/>
        <v>107.25400000000002</v>
      </c>
      <c r="O376" s="35">
        <v>419.31299999999999</v>
      </c>
      <c r="P376" s="38">
        <v>40</v>
      </c>
      <c r="Q376" s="38">
        <v>0</v>
      </c>
      <c r="R376" s="39">
        <f t="shared" si="68"/>
        <v>40</v>
      </c>
      <c r="S376" s="38"/>
      <c r="T376" s="40">
        <v>1766</v>
      </c>
    </row>
    <row r="377" spans="2:20" ht="15.6" x14ac:dyDescent="0.3">
      <c r="B377" s="32">
        <f t="shared" si="69"/>
        <v>16</v>
      </c>
      <c r="C377" s="32" t="s">
        <v>591</v>
      </c>
      <c r="D377" s="33" t="s">
        <v>592</v>
      </c>
      <c r="E377" s="34">
        <v>45199</v>
      </c>
      <c r="F377" s="35">
        <v>37.5</v>
      </c>
      <c r="G377" s="36">
        <v>10</v>
      </c>
      <c r="H377" s="37">
        <f t="shared" si="66"/>
        <v>3.75</v>
      </c>
      <c r="I377" s="35">
        <v>2039.7570000000001</v>
      </c>
      <c r="J377" s="35">
        <v>3249.9810000000002</v>
      </c>
      <c r="K377" s="35">
        <v>3045.962</v>
      </c>
      <c r="L377" s="35">
        <v>150.304</v>
      </c>
      <c r="M377" s="35">
        <v>14.741</v>
      </c>
      <c r="N377" s="37">
        <f t="shared" si="67"/>
        <v>-58.242999999999995</v>
      </c>
      <c r="O377" s="35">
        <v>72.983999999999995</v>
      </c>
      <c r="P377" s="38">
        <v>0</v>
      </c>
      <c r="Q377" s="38">
        <v>0</v>
      </c>
      <c r="R377" s="39">
        <f t="shared" si="68"/>
        <v>0</v>
      </c>
      <c r="S377" s="38"/>
      <c r="T377" s="40">
        <v>947</v>
      </c>
    </row>
    <row r="378" spans="2:20" ht="15.6" x14ac:dyDescent="0.3">
      <c r="B378" s="32">
        <f t="shared" si="69"/>
        <v>17</v>
      </c>
      <c r="C378" s="32" t="s">
        <v>593</v>
      </c>
      <c r="D378" s="33" t="s">
        <v>594</v>
      </c>
      <c r="E378" s="34">
        <v>45199</v>
      </c>
      <c r="F378" s="35">
        <f>11.946*G378</f>
        <v>119.46</v>
      </c>
      <c r="G378" s="36">
        <v>10</v>
      </c>
      <c r="H378" s="37">
        <f t="shared" si="66"/>
        <v>11.946</v>
      </c>
      <c r="I378" s="35">
        <v>2057.4459999999999</v>
      </c>
      <c r="J378" s="35">
        <v>5021.5929999999998</v>
      </c>
      <c r="K378" s="35">
        <v>3922.1559999999999</v>
      </c>
      <c r="L378" s="35">
        <v>151.21</v>
      </c>
      <c r="M378" s="35">
        <v>132.45099999999999</v>
      </c>
      <c r="N378" s="37">
        <f t="shared" si="67"/>
        <v>27.567999999999998</v>
      </c>
      <c r="O378" s="35">
        <v>104.883</v>
      </c>
      <c r="P378" s="38">
        <v>0</v>
      </c>
      <c r="Q378" s="38">
        <v>0</v>
      </c>
      <c r="R378" s="39">
        <f t="shared" si="68"/>
        <v>0</v>
      </c>
      <c r="S378" s="38"/>
      <c r="T378" s="40">
        <v>1249</v>
      </c>
    </row>
    <row r="379" spans="2:20" ht="15.6" x14ac:dyDescent="0.3">
      <c r="B379" s="32">
        <f t="shared" si="69"/>
        <v>18</v>
      </c>
      <c r="C379" s="32" t="s">
        <v>595</v>
      </c>
      <c r="D379" s="33" t="s">
        <v>596</v>
      </c>
      <c r="E379" s="34">
        <v>45199</v>
      </c>
      <c r="F379" s="35">
        <v>104.25</v>
      </c>
      <c r="G379" s="36">
        <v>10</v>
      </c>
      <c r="H379" s="37">
        <f t="shared" si="66"/>
        <v>10.425000000000001</v>
      </c>
      <c r="I379" s="35">
        <v>2540.7772220000002</v>
      </c>
      <c r="J379" s="35">
        <v>4390.0026589999998</v>
      </c>
      <c r="K379" s="35">
        <v>5534.6655979999996</v>
      </c>
      <c r="L379" s="35">
        <v>384.18126000000001</v>
      </c>
      <c r="M379" s="35">
        <v>608.94170899999995</v>
      </c>
      <c r="N379" s="37">
        <f t="shared" si="67"/>
        <v>235.57305199999996</v>
      </c>
      <c r="O379" s="35">
        <v>373.36865699999998</v>
      </c>
      <c r="P379" s="38">
        <v>20</v>
      </c>
      <c r="Q379" s="38">
        <v>0</v>
      </c>
      <c r="R379" s="39">
        <f t="shared" si="68"/>
        <v>20</v>
      </c>
      <c r="S379" s="38"/>
      <c r="T379" s="40">
        <v>1785</v>
      </c>
    </row>
    <row r="380" spans="2:20" ht="15.6" x14ac:dyDescent="0.3">
      <c r="B380" s="32">
        <f t="shared" si="69"/>
        <v>19</v>
      </c>
      <c r="C380" s="32" t="s">
        <v>597</v>
      </c>
      <c r="D380" s="33" t="s">
        <v>598</v>
      </c>
      <c r="E380" s="34">
        <v>45199</v>
      </c>
      <c r="F380" s="35">
        <v>120.111</v>
      </c>
      <c r="G380" s="36">
        <v>10</v>
      </c>
      <c r="H380" s="37">
        <f t="shared" si="66"/>
        <v>12.011100000000001</v>
      </c>
      <c r="I380" s="35">
        <v>3389.5659999999998</v>
      </c>
      <c r="J380" s="35">
        <v>6421.3069999999998</v>
      </c>
      <c r="K380" s="35">
        <v>9476.0529999999999</v>
      </c>
      <c r="L380" s="35">
        <v>503.11799999999999</v>
      </c>
      <c r="M380" s="35">
        <v>661.79700000000003</v>
      </c>
      <c r="N380" s="37">
        <f t="shared" si="67"/>
        <v>256.32500000000005</v>
      </c>
      <c r="O380" s="35">
        <v>405.47199999999998</v>
      </c>
      <c r="P380" s="38">
        <v>140</v>
      </c>
      <c r="Q380" s="38">
        <v>0</v>
      </c>
      <c r="R380" s="39">
        <f t="shared" si="68"/>
        <v>140</v>
      </c>
      <c r="S380" s="38"/>
      <c r="T380" s="40">
        <v>734</v>
      </c>
    </row>
    <row r="381" spans="2:20" ht="15.6" x14ac:dyDescent="0.3">
      <c r="B381" s="32">
        <f t="shared" si="69"/>
        <v>20</v>
      </c>
      <c r="C381" s="32" t="s">
        <v>599</v>
      </c>
      <c r="D381" s="33" t="s">
        <v>600</v>
      </c>
      <c r="E381" s="34">
        <v>45199</v>
      </c>
      <c r="F381" s="35">
        <v>211.18700000000001</v>
      </c>
      <c r="G381" s="36">
        <v>10</v>
      </c>
      <c r="H381" s="37">
        <f t="shared" si="66"/>
        <v>21.1187</v>
      </c>
      <c r="I381" s="35">
        <v>13818.518</v>
      </c>
      <c r="J381" s="35">
        <v>22598.025000000001</v>
      </c>
      <c r="K381" s="35">
        <v>22884.469000000001</v>
      </c>
      <c r="L381" s="35">
        <v>1012.861</v>
      </c>
      <c r="M381" s="35">
        <v>4410.4750000000004</v>
      </c>
      <c r="N381" s="37">
        <f t="shared" si="67"/>
        <v>582.86400000000049</v>
      </c>
      <c r="O381" s="35">
        <v>3827.6109999999999</v>
      </c>
      <c r="P381" s="38">
        <f>150+150+200</f>
        <v>500</v>
      </c>
      <c r="Q381" s="38">
        <v>0</v>
      </c>
      <c r="R381" s="39">
        <f t="shared" si="68"/>
        <v>500</v>
      </c>
      <c r="S381" s="38"/>
      <c r="T381" s="40">
        <v>2337</v>
      </c>
    </row>
    <row r="382" spans="2:20" ht="15.6" x14ac:dyDescent="0.3">
      <c r="B382" s="32">
        <f>+B381+1</f>
        <v>21</v>
      </c>
      <c r="C382" s="32" t="s">
        <v>601</v>
      </c>
      <c r="D382" s="45" t="s">
        <v>602</v>
      </c>
      <c r="E382" s="34">
        <v>45199</v>
      </c>
      <c r="F382" s="35">
        <v>529.65</v>
      </c>
      <c r="G382" s="36">
        <v>10</v>
      </c>
      <c r="H382" s="37">
        <f t="shared" si="66"/>
        <v>52.964999999999996</v>
      </c>
      <c r="I382" s="35">
        <v>3649.141905</v>
      </c>
      <c r="J382" s="35">
        <v>6930.6903350000002</v>
      </c>
      <c r="K382" s="35">
        <v>7832.7795960000003</v>
      </c>
      <c r="L382" s="35">
        <v>509.92526299999997</v>
      </c>
      <c r="M382" s="35">
        <v>578.67945999999995</v>
      </c>
      <c r="N382" s="37">
        <f t="shared" si="67"/>
        <v>237.63058199999995</v>
      </c>
      <c r="O382" s="35">
        <v>341.048878</v>
      </c>
      <c r="P382" s="38">
        <v>0</v>
      </c>
      <c r="Q382" s="38">
        <v>0</v>
      </c>
      <c r="R382" s="39">
        <f t="shared" si="68"/>
        <v>0</v>
      </c>
      <c r="S382" s="38"/>
      <c r="T382" s="40">
        <v>977</v>
      </c>
    </row>
    <row r="383" spans="2:20" ht="15.6" x14ac:dyDescent="0.3">
      <c r="B383" s="32"/>
      <c r="C383" s="32" t="s">
        <v>603</v>
      </c>
      <c r="D383" s="45" t="s">
        <v>604</v>
      </c>
      <c r="E383" s="34">
        <v>45199</v>
      </c>
      <c r="F383" s="35">
        <v>144.44999999999999</v>
      </c>
      <c r="G383" s="36">
        <v>10</v>
      </c>
      <c r="H383" s="37">
        <f t="shared" si="66"/>
        <v>14.444999999999999</v>
      </c>
      <c r="I383" s="35"/>
      <c r="J383" s="35"/>
      <c r="K383" s="35"/>
      <c r="L383" s="35"/>
      <c r="M383" s="35"/>
      <c r="N383" s="37">
        <f t="shared" si="67"/>
        <v>0</v>
      </c>
      <c r="O383" s="35"/>
      <c r="P383" s="38">
        <v>10</v>
      </c>
      <c r="Q383" s="38">
        <v>0</v>
      </c>
      <c r="R383" s="39">
        <f t="shared" si="68"/>
        <v>10</v>
      </c>
      <c r="S383" s="38"/>
      <c r="T383" s="40"/>
    </row>
    <row r="384" spans="2:20" ht="15.6" x14ac:dyDescent="0.3">
      <c r="B384" s="32">
        <f>+B382+1</f>
        <v>22</v>
      </c>
      <c r="C384" s="32" t="s">
        <v>605</v>
      </c>
      <c r="D384" s="33" t="s">
        <v>606</v>
      </c>
      <c r="E384" s="34">
        <v>45199</v>
      </c>
      <c r="F384" s="35">
        <v>150.23231999999999</v>
      </c>
      <c r="G384" s="36">
        <v>10</v>
      </c>
      <c r="H384" s="37">
        <f t="shared" si="66"/>
        <v>15.023231999999998</v>
      </c>
      <c r="I384" s="35">
        <v>9158.9404799999993</v>
      </c>
      <c r="J384" s="35">
        <v>16021.361857</v>
      </c>
      <c r="K384" s="35">
        <v>30807.762585</v>
      </c>
      <c r="L384" s="35">
        <v>1362.1830910000001</v>
      </c>
      <c r="M384" s="35">
        <v>2951.7771509999998</v>
      </c>
      <c r="N384" s="37">
        <f t="shared" si="67"/>
        <v>985.71002199999975</v>
      </c>
      <c r="O384" s="35">
        <v>1966.067129</v>
      </c>
      <c r="P384" s="38">
        <v>50</v>
      </c>
      <c r="Q384" s="38">
        <v>0</v>
      </c>
      <c r="R384" s="39">
        <f t="shared" si="68"/>
        <v>50</v>
      </c>
      <c r="S384" s="38"/>
      <c r="T384" s="40">
        <v>1027</v>
      </c>
    </row>
    <row r="385" spans="2:20" ht="15.6" x14ac:dyDescent="0.3">
      <c r="B385" s="32">
        <f t="shared" ref="B385" si="70">+B384+1</f>
        <v>23</v>
      </c>
      <c r="C385" s="32" t="s">
        <v>607</v>
      </c>
      <c r="D385" s="33" t="s">
        <v>608</v>
      </c>
      <c r="E385" s="34">
        <v>45199</v>
      </c>
      <c r="F385" s="35">
        <v>1177.0630000000001</v>
      </c>
      <c r="G385" s="36">
        <v>10</v>
      </c>
      <c r="H385" s="37">
        <f t="shared" si="66"/>
        <v>117.70630000000001</v>
      </c>
      <c r="I385" s="35">
        <v>12598.136651999999</v>
      </c>
      <c r="J385" s="35">
        <v>30807.275254</v>
      </c>
      <c r="K385" s="35">
        <v>42290.087512999999</v>
      </c>
      <c r="L385" s="35">
        <v>2458.5048259999999</v>
      </c>
      <c r="M385" s="35">
        <v>2149.0902959999999</v>
      </c>
      <c r="N385" s="37">
        <f t="shared" si="67"/>
        <v>639.87327899999991</v>
      </c>
      <c r="O385" s="35">
        <v>1509.2170169999999</v>
      </c>
      <c r="P385" s="38">
        <v>0</v>
      </c>
      <c r="Q385" s="38">
        <v>0</v>
      </c>
      <c r="R385" s="39">
        <f t="shared" si="68"/>
        <v>0</v>
      </c>
      <c r="S385" s="38"/>
      <c r="T385" s="40">
        <v>740</v>
      </c>
    </row>
    <row r="386" spans="2:20" ht="15.6" x14ac:dyDescent="0.3">
      <c r="B386" s="61"/>
      <c r="C386" s="61"/>
      <c r="D386" s="63"/>
      <c r="E386" s="64"/>
      <c r="F386" s="65"/>
      <c r="G386" s="42"/>
      <c r="H386" s="66"/>
      <c r="I386" s="65"/>
      <c r="J386" s="65"/>
      <c r="K386" s="65"/>
      <c r="L386" s="65"/>
      <c r="M386" s="65"/>
      <c r="N386" s="66"/>
      <c r="O386" s="65"/>
      <c r="P386" s="67"/>
      <c r="Q386" s="67"/>
      <c r="R386" s="68"/>
      <c r="S386" s="67"/>
      <c r="T386" s="69"/>
    </row>
    <row r="387" spans="2:20" ht="18" x14ac:dyDescent="0.35">
      <c r="B387" s="27"/>
      <c r="C387" s="27"/>
      <c r="D387" s="55" t="s">
        <v>43</v>
      </c>
      <c r="E387" s="27"/>
      <c r="F387" s="27"/>
      <c r="G387" s="42"/>
      <c r="H387" s="43"/>
      <c r="I387" s="29"/>
      <c r="J387" s="29"/>
      <c r="K387" s="29"/>
      <c r="L387" s="29"/>
      <c r="M387" s="29"/>
      <c r="N387" s="44"/>
      <c r="O387" s="29"/>
      <c r="P387" s="29"/>
      <c r="Q387" s="29"/>
      <c r="R387" s="44"/>
      <c r="S387" s="29"/>
      <c r="T387" s="29"/>
    </row>
    <row r="389" spans="2:20" ht="15.6" x14ac:dyDescent="0.3">
      <c r="B389" s="32">
        <v>1</v>
      </c>
      <c r="C389" s="32" t="s">
        <v>609</v>
      </c>
      <c r="D389" s="33" t="s">
        <v>610</v>
      </c>
      <c r="E389" s="34">
        <v>45199</v>
      </c>
      <c r="F389" s="35"/>
      <c r="G389" s="36">
        <v>10</v>
      </c>
      <c r="H389" s="37">
        <f>+F389/G389</f>
        <v>0</v>
      </c>
      <c r="I389" s="35"/>
      <c r="J389" s="35"/>
      <c r="K389" s="35"/>
      <c r="L389" s="35"/>
      <c r="M389" s="35"/>
      <c r="N389" s="37">
        <f>+M389-O389</f>
        <v>0</v>
      </c>
      <c r="O389" s="35"/>
      <c r="P389" s="38"/>
      <c r="Q389" s="38"/>
      <c r="R389" s="39">
        <f>SUM(P389:Q389)</f>
        <v>0</v>
      </c>
      <c r="S389" s="38"/>
      <c r="T389" s="40"/>
    </row>
    <row r="390" spans="2:20" ht="15.6" x14ac:dyDescent="0.3">
      <c r="B390" s="32">
        <f t="shared" ref="B390:B393" si="71">+B389+1</f>
        <v>2</v>
      </c>
      <c r="C390" s="32" t="s">
        <v>611</v>
      </c>
      <c r="D390" s="33" t="s">
        <v>612</v>
      </c>
      <c r="E390" s="34">
        <v>45199</v>
      </c>
      <c r="F390" s="35">
        <v>915.11991999999998</v>
      </c>
      <c r="G390" s="36">
        <v>10</v>
      </c>
      <c r="H390" s="37">
        <f>+F390/G390</f>
        <v>91.511991999999992</v>
      </c>
      <c r="I390" s="35">
        <v>-1297.994702</v>
      </c>
      <c r="J390" s="35">
        <v>8579.7741709999991</v>
      </c>
      <c r="K390" s="35">
        <v>6206.7914899999996</v>
      </c>
      <c r="L390" s="35">
        <v>47.177450999999998</v>
      </c>
      <c r="M390" s="35">
        <v>-899.38887399999999</v>
      </c>
      <c r="N390" s="37">
        <f>+M390-O390</f>
        <v>-35.733716999999956</v>
      </c>
      <c r="O390" s="35">
        <v>-863.65515700000003</v>
      </c>
      <c r="P390" s="38">
        <v>0</v>
      </c>
      <c r="Q390" s="38">
        <v>0</v>
      </c>
      <c r="R390" s="39">
        <f>SUM(P390:Q390)</f>
        <v>0</v>
      </c>
      <c r="S390" s="38"/>
      <c r="T390" s="40">
        <v>1975</v>
      </c>
    </row>
    <row r="391" spans="2:20" ht="15.6" x14ac:dyDescent="0.3">
      <c r="B391" s="32">
        <f t="shared" si="71"/>
        <v>3</v>
      </c>
      <c r="C391" s="32" t="s">
        <v>613</v>
      </c>
      <c r="D391" s="33" t="s">
        <v>614</v>
      </c>
      <c r="E391" s="34">
        <v>45199</v>
      </c>
      <c r="F391" s="35">
        <v>324</v>
      </c>
      <c r="G391" s="36">
        <v>10</v>
      </c>
      <c r="H391" s="37">
        <f>+F391/G391</f>
        <v>32.4</v>
      </c>
      <c r="I391" s="35">
        <v>766.17862300000002</v>
      </c>
      <c r="J391" s="35">
        <v>6260.008108</v>
      </c>
      <c r="K391" s="35">
        <v>0</v>
      </c>
      <c r="L391" s="35">
        <v>125.22460599999999</v>
      </c>
      <c r="M391" s="35">
        <v>-477.93579699999998</v>
      </c>
      <c r="N391" s="37">
        <f>+M391-O391</f>
        <v>-11.590974999999958</v>
      </c>
      <c r="O391" s="35">
        <v>-466.34482200000002</v>
      </c>
      <c r="P391" s="38">
        <v>0</v>
      </c>
      <c r="Q391" s="38">
        <v>0</v>
      </c>
      <c r="R391" s="39">
        <f>SUM(P391:Q391)</f>
        <v>0</v>
      </c>
      <c r="S391" s="38"/>
      <c r="T391" s="40">
        <v>1342</v>
      </c>
    </row>
    <row r="392" spans="2:20" ht="15.6" x14ac:dyDescent="0.3">
      <c r="B392" s="32">
        <f t="shared" si="71"/>
        <v>4</v>
      </c>
      <c r="C392" s="32" t="s">
        <v>615</v>
      </c>
      <c r="D392" s="45" t="s">
        <v>616</v>
      </c>
      <c r="E392" s="34">
        <v>45199</v>
      </c>
      <c r="F392" s="35">
        <v>446.16</v>
      </c>
      <c r="G392" s="36">
        <v>10</v>
      </c>
      <c r="H392" s="37">
        <f>+F392/G392</f>
        <v>44.616</v>
      </c>
      <c r="I392" s="35">
        <v>997.2</v>
      </c>
      <c r="J392" s="35">
        <v>4151.6580000000004</v>
      </c>
      <c r="K392" s="35">
        <v>2626.5920000000001</v>
      </c>
      <c r="L392" s="35">
        <v>51.728000000000002</v>
      </c>
      <c r="M392" s="35">
        <v>-123.952</v>
      </c>
      <c r="N392" s="37">
        <f>+M392-O392</f>
        <v>32.115000000000009</v>
      </c>
      <c r="O392" s="35">
        <v>-156.06700000000001</v>
      </c>
      <c r="P392" s="38">
        <v>0</v>
      </c>
      <c r="Q392" s="38">
        <v>0</v>
      </c>
      <c r="R392" s="39">
        <f>SUM(P392:Q392)</f>
        <v>0</v>
      </c>
      <c r="S392" s="38"/>
      <c r="T392" s="40">
        <v>2209</v>
      </c>
    </row>
    <row r="393" spans="2:20" ht="15.6" x14ac:dyDescent="0.3">
      <c r="B393" s="32">
        <f t="shared" si="71"/>
        <v>5</v>
      </c>
      <c r="C393" s="32" t="s">
        <v>617</v>
      </c>
      <c r="D393" s="33" t="s">
        <v>618</v>
      </c>
      <c r="E393" s="34">
        <v>45199</v>
      </c>
      <c r="F393" s="35">
        <v>1250</v>
      </c>
      <c r="G393" s="36">
        <v>10</v>
      </c>
      <c r="H393" s="37">
        <f>+F393/G393</f>
        <v>125</v>
      </c>
      <c r="I393" s="35">
        <v>10171.6</v>
      </c>
      <c r="J393" s="35">
        <v>19023.521000000001</v>
      </c>
      <c r="K393" s="35">
        <v>9561.8240000000005</v>
      </c>
      <c r="L393" s="35">
        <v>362.77</v>
      </c>
      <c r="M393" s="35">
        <v>-863.21299999999997</v>
      </c>
      <c r="N393" s="37">
        <f>+M393-O393</f>
        <v>-316.99399999999991</v>
      </c>
      <c r="O393" s="35">
        <v>-546.21900000000005</v>
      </c>
      <c r="P393" s="38">
        <v>0</v>
      </c>
      <c r="Q393" s="38">
        <v>0</v>
      </c>
      <c r="R393" s="39">
        <f>SUM(P393:Q393)</f>
        <v>0</v>
      </c>
      <c r="S393" s="38"/>
      <c r="T393" s="40">
        <v>1379</v>
      </c>
    </row>
    <row r="394" spans="2:20" ht="15.6" x14ac:dyDescent="0.3">
      <c r="B394" s="61"/>
      <c r="C394" s="61"/>
      <c r="D394" s="63"/>
      <c r="E394" s="64"/>
      <c r="F394" s="65"/>
      <c r="G394" s="42"/>
      <c r="H394" s="66"/>
      <c r="I394" s="65"/>
      <c r="J394" s="65"/>
      <c r="K394" s="65"/>
      <c r="L394" s="65"/>
      <c r="M394" s="65"/>
      <c r="N394" s="66"/>
      <c r="O394" s="65"/>
      <c r="P394" s="67"/>
      <c r="Q394" s="67"/>
      <c r="R394" s="68"/>
      <c r="S394" s="67"/>
      <c r="T394" s="69"/>
    </row>
    <row r="395" spans="2:20" ht="15.6" x14ac:dyDescent="0.3">
      <c r="B395" s="46">
        <f>COUNT(B362:B394)</f>
        <v>28</v>
      </c>
      <c r="C395" s="46"/>
      <c r="D395" s="47"/>
      <c r="E395" s="47"/>
      <c r="F395" s="47">
        <f>SUM(F362:F394)</f>
        <v>10913.814769999999</v>
      </c>
      <c r="G395" s="48"/>
      <c r="H395" s="49">
        <f>SUM(H362:H394)</f>
        <v>1186.3814770000001</v>
      </c>
      <c r="I395" s="47">
        <f>SUM(I362:I394)</f>
        <v>151259.98071000003</v>
      </c>
      <c r="J395" s="47">
        <f>SUM(J362:J394)</f>
        <v>339434.44364499993</v>
      </c>
      <c r="K395" s="47">
        <f>SUM(K362:K394)</f>
        <v>352266.37358100002</v>
      </c>
      <c r="L395" s="47">
        <f>SUM(L362:L394)</f>
        <v>21976.528269999999</v>
      </c>
      <c r="M395" s="47">
        <f>SUM(M362:M394)</f>
        <v>27698.036325999998</v>
      </c>
      <c r="N395" s="50">
        <f>SUM(N362:N394)</f>
        <v>6350.3317980000002</v>
      </c>
      <c r="O395" s="47">
        <f>SUM(O362:O394)</f>
        <v>21347.704528000002</v>
      </c>
      <c r="P395" s="51"/>
      <c r="Q395" s="51"/>
      <c r="R395" s="52"/>
      <c r="S395" s="51"/>
      <c r="T395" s="53">
        <f>SUM(T362:T394)</f>
        <v>39817</v>
      </c>
    </row>
    <row r="396" spans="2:20" ht="15.6" x14ac:dyDescent="0.3">
      <c r="B396" s="61"/>
      <c r="C396" s="61"/>
      <c r="D396" s="63"/>
      <c r="E396" s="64"/>
      <c r="F396" s="65"/>
      <c r="G396" s="42"/>
      <c r="H396" s="66"/>
      <c r="I396" s="65"/>
      <c r="J396" s="65"/>
      <c r="K396" s="65"/>
      <c r="L396" s="65"/>
      <c r="M396" s="65"/>
      <c r="N396" s="66"/>
      <c r="O396" s="65"/>
      <c r="P396" s="67"/>
      <c r="Q396" s="67"/>
      <c r="R396" s="68"/>
      <c r="S396" s="67"/>
      <c r="T396" s="69"/>
    </row>
    <row r="397" spans="2:20" ht="15.6" x14ac:dyDescent="0.3">
      <c r="B397" s="61"/>
      <c r="C397" s="61"/>
      <c r="D397" s="63"/>
      <c r="E397" s="64"/>
      <c r="F397" s="65"/>
      <c r="G397" s="42"/>
      <c r="H397" s="66"/>
      <c r="I397" s="65"/>
      <c r="J397" s="65"/>
      <c r="K397" s="65"/>
      <c r="L397" s="65"/>
      <c r="M397" s="65"/>
      <c r="N397" s="66"/>
      <c r="O397" s="65"/>
      <c r="P397" s="67"/>
      <c r="Q397" s="67"/>
      <c r="R397" s="68"/>
      <c r="S397" s="67"/>
      <c r="T397" s="69"/>
    </row>
    <row r="398" spans="2:20" ht="18" x14ac:dyDescent="0.35">
      <c r="B398" s="27"/>
      <c r="C398" s="31">
        <v>15</v>
      </c>
      <c r="D398" s="31" t="s">
        <v>619</v>
      </c>
      <c r="E398" s="60"/>
      <c r="F398" s="60"/>
      <c r="G398" s="42"/>
      <c r="H398" s="43"/>
      <c r="I398" s="29"/>
      <c r="J398" s="29"/>
      <c r="K398" s="29"/>
      <c r="L398" s="29"/>
      <c r="M398" s="29"/>
      <c r="N398" s="44"/>
      <c r="O398" s="29"/>
      <c r="P398" s="29"/>
      <c r="Q398" s="29"/>
      <c r="R398" s="44"/>
      <c r="S398" s="29"/>
      <c r="T398" s="29"/>
    </row>
    <row r="399" spans="2:20" ht="15.6" x14ac:dyDescent="0.3">
      <c r="B399" s="61"/>
      <c r="C399" s="61"/>
      <c r="D399" s="63"/>
      <c r="E399" s="64"/>
      <c r="F399" s="65"/>
      <c r="G399" s="42"/>
      <c r="H399" s="66"/>
      <c r="I399" s="65"/>
      <c r="J399" s="65"/>
      <c r="K399" s="65"/>
      <c r="L399" s="65"/>
      <c r="M399" s="65"/>
      <c r="N399" s="66"/>
      <c r="O399" s="65"/>
      <c r="P399" s="67"/>
      <c r="Q399" s="67"/>
      <c r="R399" s="68"/>
      <c r="S399" s="67"/>
      <c r="T399" s="69"/>
    </row>
    <row r="400" spans="2:20" ht="15.6" x14ac:dyDescent="0.3">
      <c r="B400" s="32">
        <v>1</v>
      </c>
      <c r="C400" s="32" t="s">
        <v>620</v>
      </c>
      <c r="D400" s="33" t="s">
        <v>621</v>
      </c>
      <c r="E400" s="34">
        <v>45107</v>
      </c>
      <c r="F400" s="35">
        <v>1374.2696100000001</v>
      </c>
      <c r="G400" s="36">
        <v>10</v>
      </c>
      <c r="H400" s="37">
        <f t="shared" ref="H400:H417" si="72">+F400/G400</f>
        <v>137.42696100000001</v>
      </c>
      <c r="I400" s="35">
        <v>18968.513999999999</v>
      </c>
      <c r="J400" s="35">
        <v>43667.267999999996</v>
      </c>
      <c r="K400" s="35">
        <v>25477.355</v>
      </c>
      <c r="L400" s="35">
        <v>289.23500000000001</v>
      </c>
      <c r="M400" s="35">
        <v>2888.3330000000001</v>
      </c>
      <c r="N400" s="37">
        <f t="shared" ref="N400:N417" si="73">+M400-O400</f>
        <v>1372.2710000000002</v>
      </c>
      <c r="O400" s="35">
        <v>1516.0619999999999</v>
      </c>
      <c r="P400" s="38">
        <f>60</f>
        <v>60</v>
      </c>
      <c r="Q400" s="38">
        <v>0</v>
      </c>
      <c r="R400" s="39">
        <f t="shared" ref="R400:R417" si="74">SUM(P400:Q400)</f>
        <v>60</v>
      </c>
      <c r="S400" s="38"/>
      <c r="T400" s="40">
        <v>2076</v>
      </c>
    </row>
    <row r="401" spans="2:20" ht="15.6" x14ac:dyDescent="0.3">
      <c r="B401" s="32">
        <f>+B400+1</f>
        <v>2</v>
      </c>
      <c r="C401" s="32" t="s">
        <v>622</v>
      </c>
      <c r="D401" s="33" t="s">
        <v>623</v>
      </c>
      <c r="E401" s="34">
        <v>45107</v>
      </c>
      <c r="F401" s="35">
        <v>5962.52783</v>
      </c>
      <c r="G401" s="36">
        <v>10</v>
      </c>
      <c r="H401" s="37">
        <f t="shared" si="72"/>
        <v>596.25278300000002</v>
      </c>
      <c r="I401" s="35">
        <v>61845.616000000002</v>
      </c>
      <c r="J401" s="35">
        <v>175139.67600000001</v>
      </c>
      <c r="K401" s="35">
        <v>87741.812000000005</v>
      </c>
      <c r="L401" s="35">
        <v>6828.0039999999999</v>
      </c>
      <c r="M401" s="35">
        <v>22598.424999999999</v>
      </c>
      <c r="N401" s="37">
        <f t="shared" si="73"/>
        <v>10706.726999999999</v>
      </c>
      <c r="O401" s="35">
        <v>11891.698</v>
      </c>
      <c r="P401" s="38">
        <f>40+60+50+60</f>
        <v>210</v>
      </c>
      <c r="Q401" s="38">
        <v>0</v>
      </c>
      <c r="R401" s="39">
        <f t="shared" si="74"/>
        <v>210</v>
      </c>
      <c r="S401" s="38"/>
      <c r="T401" s="40">
        <v>8794</v>
      </c>
    </row>
    <row r="402" spans="2:20" ht="15.6" x14ac:dyDescent="0.3">
      <c r="B402" s="32">
        <f t="shared" ref="B402:B417" si="75">+B401+1</f>
        <v>3</v>
      </c>
      <c r="C402" s="32" t="s">
        <v>624</v>
      </c>
      <c r="D402" s="33" t="s">
        <v>625</v>
      </c>
      <c r="E402" s="34">
        <v>45107</v>
      </c>
      <c r="F402" s="35">
        <v>1942.95038</v>
      </c>
      <c r="G402" s="36">
        <v>10</v>
      </c>
      <c r="H402" s="37">
        <f t="shared" si="72"/>
        <v>194.29503800000001</v>
      </c>
      <c r="I402" s="35">
        <v>20879.018</v>
      </c>
      <c r="J402" s="35">
        <v>39302.286</v>
      </c>
      <c r="K402" s="35">
        <v>37386.186000000002</v>
      </c>
      <c r="L402" s="35">
        <v>1914.17</v>
      </c>
      <c r="M402" s="35">
        <v>7272.0290000000005</v>
      </c>
      <c r="N402" s="37">
        <f t="shared" si="73"/>
        <v>2868.0970000000007</v>
      </c>
      <c r="O402" s="35">
        <v>4403.9319999999998</v>
      </c>
      <c r="P402" s="38">
        <f>15+30</f>
        <v>45</v>
      </c>
      <c r="Q402" s="38">
        <v>0</v>
      </c>
      <c r="R402" s="39">
        <f t="shared" si="74"/>
        <v>45</v>
      </c>
      <c r="S402" s="38"/>
      <c r="T402" s="40">
        <v>5215</v>
      </c>
    </row>
    <row r="403" spans="2:20" ht="15.6" x14ac:dyDescent="0.3">
      <c r="B403" s="32">
        <f t="shared" si="75"/>
        <v>4</v>
      </c>
      <c r="C403" s="32" t="s">
        <v>626</v>
      </c>
      <c r="D403" s="33" t="s">
        <v>627</v>
      </c>
      <c r="E403" s="34">
        <v>45107</v>
      </c>
      <c r="F403" s="35">
        <f>484.113343*G403</f>
        <v>4841.1334299999999</v>
      </c>
      <c r="G403" s="36">
        <v>10</v>
      </c>
      <c r="H403" s="37">
        <f t="shared" si="72"/>
        <v>484.11334299999999</v>
      </c>
      <c r="I403" s="35">
        <v>27481.39</v>
      </c>
      <c r="J403" s="35">
        <v>49544.241999999998</v>
      </c>
      <c r="K403" s="35">
        <v>20199.555</v>
      </c>
      <c r="L403" s="35">
        <v>23.983000000000001</v>
      </c>
      <c r="M403" s="35">
        <v>-164.76599999999999</v>
      </c>
      <c r="N403" s="37">
        <f t="shared" si="73"/>
        <v>421.54000000000008</v>
      </c>
      <c r="O403" s="35">
        <v>-586.30600000000004</v>
      </c>
      <c r="P403" s="38">
        <v>0</v>
      </c>
      <c r="Q403" s="38">
        <v>0</v>
      </c>
      <c r="R403" s="39">
        <f t="shared" si="74"/>
        <v>0</v>
      </c>
      <c r="S403" s="38"/>
      <c r="T403" s="40">
        <v>8165</v>
      </c>
    </row>
    <row r="404" spans="2:20" ht="15.6" x14ac:dyDescent="0.3">
      <c r="B404" s="32">
        <f t="shared" si="75"/>
        <v>5</v>
      </c>
      <c r="C404" s="32" t="s">
        <v>628</v>
      </c>
      <c r="D404" s="33" t="s">
        <v>629</v>
      </c>
      <c r="E404" s="34">
        <v>45107</v>
      </c>
      <c r="F404" s="35">
        <v>4381.1909699999997</v>
      </c>
      <c r="G404" s="36">
        <v>10</v>
      </c>
      <c r="H404" s="37">
        <f t="shared" si="72"/>
        <v>438.11909699999995</v>
      </c>
      <c r="I404" s="35">
        <v>64192.277000000002</v>
      </c>
      <c r="J404" s="35">
        <v>134713.25399999999</v>
      </c>
      <c r="K404" s="35">
        <v>64983.821000000004</v>
      </c>
      <c r="L404" s="35">
        <v>6742.2920000000004</v>
      </c>
      <c r="M404" s="35">
        <v>3162.5430000000001</v>
      </c>
      <c r="N404" s="37">
        <f t="shared" si="73"/>
        <v>6798.5190000000002</v>
      </c>
      <c r="O404" s="35">
        <v>-3635.9760000000001</v>
      </c>
      <c r="P404" s="38">
        <v>0</v>
      </c>
      <c r="Q404" s="38">
        <v>0</v>
      </c>
      <c r="R404" s="39">
        <f t="shared" si="74"/>
        <v>0</v>
      </c>
      <c r="S404" s="38"/>
      <c r="T404" s="40">
        <v>12628</v>
      </c>
    </row>
    <row r="405" spans="2:20" ht="15.6" x14ac:dyDescent="0.3">
      <c r="B405" s="32">
        <f t="shared" si="75"/>
        <v>6</v>
      </c>
      <c r="C405" s="32" t="s">
        <v>630</v>
      </c>
      <c r="D405" s="33" t="s">
        <v>631</v>
      </c>
      <c r="E405" s="34">
        <v>45107</v>
      </c>
      <c r="F405" s="35">
        <f>248.173314*G405</f>
        <v>2481.7331400000003</v>
      </c>
      <c r="G405" s="36">
        <v>10</v>
      </c>
      <c r="H405" s="37">
        <f>+F405/G405</f>
        <v>248.17331400000003</v>
      </c>
      <c r="I405" s="35">
        <v>2254.9524299999998</v>
      </c>
      <c r="J405" s="35">
        <v>9459.1445960000001</v>
      </c>
      <c r="K405" s="35">
        <v>0</v>
      </c>
      <c r="L405" s="35">
        <v>240.273357</v>
      </c>
      <c r="M405" s="35">
        <v>-406.13042200000001</v>
      </c>
      <c r="N405" s="37">
        <f>+M405-O405</f>
        <v>-38.694760000000031</v>
      </c>
      <c r="O405" s="35">
        <v>-367.43566199999998</v>
      </c>
      <c r="P405" s="38">
        <v>0</v>
      </c>
      <c r="Q405" s="38">
        <v>0</v>
      </c>
      <c r="R405" s="39">
        <f>SUM(P405:Q405)</f>
        <v>0</v>
      </c>
      <c r="S405" s="38"/>
      <c r="T405" s="40">
        <v>718</v>
      </c>
    </row>
    <row r="406" spans="2:20" ht="15.6" x14ac:dyDescent="0.3">
      <c r="B406" s="32">
        <f t="shared" si="75"/>
        <v>7</v>
      </c>
      <c r="C406" s="32" t="s">
        <v>632</v>
      </c>
      <c r="D406" s="33" t="s">
        <v>633</v>
      </c>
      <c r="E406" s="34">
        <v>45107</v>
      </c>
      <c r="F406" s="35">
        <v>24528.475999999999</v>
      </c>
      <c r="G406" s="36">
        <v>10</v>
      </c>
      <c r="H406" s="37">
        <f t="shared" si="72"/>
        <v>2452.8476000000001</v>
      </c>
      <c r="I406" s="35">
        <v>65175.737000000001</v>
      </c>
      <c r="J406" s="35">
        <v>138828.497</v>
      </c>
      <c r="K406" s="35">
        <v>68069.282000000007</v>
      </c>
      <c r="L406" s="35">
        <v>3645.2649999999999</v>
      </c>
      <c r="M406" s="35">
        <v>12900.109</v>
      </c>
      <c r="N406" s="37">
        <f t="shared" si="73"/>
        <v>5460.4280000000008</v>
      </c>
      <c r="O406" s="35">
        <v>7439.6809999999996</v>
      </c>
      <c r="P406" s="38">
        <v>0</v>
      </c>
      <c r="Q406" s="38">
        <v>0</v>
      </c>
      <c r="R406" s="39">
        <f t="shared" si="74"/>
        <v>0</v>
      </c>
      <c r="S406" s="38"/>
      <c r="T406" s="40">
        <v>13126</v>
      </c>
    </row>
    <row r="407" spans="2:20" ht="15.6" x14ac:dyDescent="0.3">
      <c r="B407" s="32">
        <f t="shared" si="75"/>
        <v>8</v>
      </c>
      <c r="C407" s="32" t="s">
        <v>634</v>
      </c>
      <c r="D407" s="33" t="s">
        <v>635</v>
      </c>
      <c r="E407" s="34">
        <v>45107</v>
      </c>
      <c r="F407" s="35">
        <f>50.16*G407</f>
        <v>501.59999999999997</v>
      </c>
      <c r="G407" s="36">
        <v>10</v>
      </c>
      <c r="H407" s="37">
        <f t="shared" si="72"/>
        <v>50.16</v>
      </c>
      <c r="I407" s="35">
        <v>3596.7550000000001</v>
      </c>
      <c r="J407" s="35">
        <v>7326.4790000000003</v>
      </c>
      <c r="K407" s="35">
        <v>8682.1830000000009</v>
      </c>
      <c r="L407" s="35">
        <v>303.20299999999997</v>
      </c>
      <c r="M407" s="35">
        <v>-172.929</v>
      </c>
      <c r="N407" s="37">
        <f t="shared" si="73"/>
        <v>-39.683999999999997</v>
      </c>
      <c r="O407" s="35">
        <v>-133.245</v>
      </c>
      <c r="P407" s="38">
        <v>0</v>
      </c>
      <c r="Q407" s="38">
        <v>0</v>
      </c>
      <c r="R407" s="39">
        <f t="shared" si="74"/>
        <v>0</v>
      </c>
      <c r="S407" s="38"/>
      <c r="T407" s="40">
        <v>1854</v>
      </c>
    </row>
    <row r="408" spans="2:20" ht="15.6" x14ac:dyDescent="0.3">
      <c r="B408" s="32">
        <f t="shared" si="75"/>
        <v>9</v>
      </c>
      <c r="C408" s="32" t="s">
        <v>636</v>
      </c>
      <c r="D408" s="33" t="s">
        <v>637</v>
      </c>
      <c r="E408" s="34">
        <v>45107</v>
      </c>
      <c r="F408" s="35">
        <f>694.8*G408</f>
        <v>6948</v>
      </c>
      <c r="G408" s="36">
        <v>10</v>
      </c>
      <c r="H408" s="37">
        <f t="shared" si="72"/>
        <v>694.8</v>
      </c>
      <c r="I408" s="35">
        <v>12291.521978000001</v>
      </c>
      <c r="J408" s="35">
        <v>22970.334900999998</v>
      </c>
      <c r="K408" s="35">
        <v>4243.5267590000003</v>
      </c>
      <c r="L408" s="35">
        <v>168.50778800000001</v>
      </c>
      <c r="M408" s="35">
        <v>369.74778199999997</v>
      </c>
      <c r="N408" s="37">
        <f t="shared" si="73"/>
        <v>98.502103999999974</v>
      </c>
      <c r="O408" s="35">
        <v>271.245678</v>
      </c>
      <c r="P408" s="38">
        <v>0</v>
      </c>
      <c r="Q408" s="38">
        <v>0</v>
      </c>
      <c r="R408" s="39">
        <f t="shared" si="74"/>
        <v>0</v>
      </c>
      <c r="S408" s="38"/>
      <c r="T408" s="40">
        <v>8072</v>
      </c>
    </row>
    <row r="409" spans="2:20" ht="15.6" x14ac:dyDescent="0.3">
      <c r="B409" s="32">
        <f t="shared" si="75"/>
        <v>10</v>
      </c>
      <c r="C409" s="32" t="s">
        <v>638</v>
      </c>
      <c r="D409" s="33" t="s">
        <v>639</v>
      </c>
      <c r="E409" s="34">
        <v>45107</v>
      </c>
      <c r="F409" s="35">
        <v>4002.739</v>
      </c>
      <c r="G409" s="36">
        <v>10</v>
      </c>
      <c r="H409" s="37">
        <f t="shared" si="72"/>
        <v>400.27390000000003</v>
      </c>
      <c r="I409" s="35">
        <v>22308.875</v>
      </c>
      <c r="J409" s="35">
        <v>35035.059000000001</v>
      </c>
      <c r="K409" s="35">
        <v>18315.894</v>
      </c>
      <c r="L409" s="35">
        <v>320.22899999999998</v>
      </c>
      <c r="M409" s="35">
        <v>2711.9659999999999</v>
      </c>
      <c r="N409" s="37">
        <f t="shared" si="73"/>
        <v>1479.559</v>
      </c>
      <c r="O409" s="35">
        <v>1232.4069999999999</v>
      </c>
      <c r="P409" s="38">
        <v>0</v>
      </c>
      <c r="Q409" s="38">
        <v>0</v>
      </c>
      <c r="R409" s="39">
        <f t="shared" si="74"/>
        <v>0</v>
      </c>
      <c r="S409" s="38"/>
      <c r="T409" s="40">
        <v>3167</v>
      </c>
    </row>
    <row r="410" spans="2:20" ht="15.6" x14ac:dyDescent="0.3">
      <c r="B410" s="32">
        <f t="shared" si="75"/>
        <v>11</v>
      </c>
      <c r="C410" s="32" t="s">
        <v>640</v>
      </c>
      <c r="D410" s="33" t="s">
        <v>641</v>
      </c>
      <c r="E410" s="34">
        <v>45107</v>
      </c>
      <c r="F410" s="35">
        <v>2008.6129699999999</v>
      </c>
      <c r="G410" s="36">
        <v>10</v>
      </c>
      <c r="H410" s="37">
        <f t="shared" si="72"/>
        <v>200.86129699999998</v>
      </c>
      <c r="I410" s="35">
        <v>32610.044972</v>
      </c>
      <c r="J410" s="35">
        <v>49530.075545</v>
      </c>
      <c r="K410" s="35">
        <v>38921.635349999997</v>
      </c>
      <c r="L410" s="35">
        <v>740.307772</v>
      </c>
      <c r="M410" s="35">
        <v>10469.327827999999</v>
      </c>
      <c r="N410" s="37">
        <f t="shared" si="73"/>
        <v>4648.5766829999993</v>
      </c>
      <c r="O410" s="35">
        <v>5820.7511450000002</v>
      </c>
      <c r="P410" s="38">
        <v>0</v>
      </c>
      <c r="Q410" s="38">
        <v>0</v>
      </c>
      <c r="R410" s="39">
        <f t="shared" si="74"/>
        <v>0</v>
      </c>
      <c r="S410" s="38"/>
      <c r="T410" s="40">
        <v>2500</v>
      </c>
    </row>
    <row r="411" spans="2:20" ht="15.6" x14ac:dyDescent="0.3">
      <c r="B411" s="32">
        <f t="shared" si="75"/>
        <v>12</v>
      </c>
      <c r="C411" s="32" t="s">
        <v>642</v>
      </c>
      <c r="D411" s="33" t="s">
        <v>643</v>
      </c>
      <c r="E411" s="34">
        <v>45107</v>
      </c>
      <c r="F411" s="35">
        <v>3133.75</v>
      </c>
      <c r="G411" s="36">
        <v>10</v>
      </c>
      <c r="H411" s="37">
        <f t="shared" si="72"/>
        <v>313.375</v>
      </c>
      <c r="I411" s="35">
        <v>137366.326</v>
      </c>
      <c r="J411" s="35">
        <v>213079.06700000001</v>
      </c>
      <c r="K411" s="35">
        <v>95832.146999999997</v>
      </c>
      <c r="L411" s="35">
        <v>1169.77</v>
      </c>
      <c r="M411" s="35">
        <v>21343.274000000001</v>
      </c>
      <c r="N411" s="37">
        <f t="shared" si="73"/>
        <v>7617.4600000000009</v>
      </c>
      <c r="O411" s="35">
        <v>13725.814</v>
      </c>
      <c r="P411" s="38">
        <f>180</f>
        <v>180</v>
      </c>
      <c r="Q411" s="38">
        <v>0</v>
      </c>
      <c r="R411" s="39">
        <f t="shared" si="74"/>
        <v>180</v>
      </c>
      <c r="S411" s="38"/>
      <c r="T411" s="40">
        <v>11459</v>
      </c>
    </row>
    <row r="412" spans="2:20" ht="15.6" x14ac:dyDescent="0.3">
      <c r="B412" s="32">
        <f t="shared" si="75"/>
        <v>13</v>
      </c>
      <c r="C412" s="32" t="s">
        <v>644</v>
      </c>
      <c r="D412" s="33" t="s">
        <v>645</v>
      </c>
      <c r="E412" s="34">
        <v>45107</v>
      </c>
      <c r="F412" s="35">
        <v>10733.462320000001</v>
      </c>
      <c r="G412" s="36">
        <v>10</v>
      </c>
      <c r="H412" s="37">
        <f t="shared" si="72"/>
        <v>1073.3462320000001</v>
      </c>
      <c r="I412" s="35">
        <v>44913.114000000001</v>
      </c>
      <c r="J412" s="35">
        <v>89707.710999999996</v>
      </c>
      <c r="K412" s="35">
        <v>62075.258999999998</v>
      </c>
      <c r="L412" s="35">
        <v>2750.748</v>
      </c>
      <c r="M412" s="35">
        <v>9250.6669999999995</v>
      </c>
      <c r="N412" s="37">
        <f t="shared" si="73"/>
        <v>4758.9979999999996</v>
      </c>
      <c r="O412" s="35">
        <v>4491.6689999999999</v>
      </c>
      <c r="P412" s="38">
        <v>0</v>
      </c>
      <c r="Q412" s="38">
        <v>0</v>
      </c>
      <c r="R412" s="39">
        <f t="shared" si="74"/>
        <v>0</v>
      </c>
      <c r="S412" s="38"/>
      <c r="T412" s="40">
        <v>14556</v>
      </c>
    </row>
    <row r="413" spans="2:20" ht="15.6" x14ac:dyDescent="0.3">
      <c r="B413" s="32">
        <f t="shared" si="75"/>
        <v>14</v>
      </c>
      <c r="C413" s="32" t="s">
        <v>646</v>
      </c>
      <c r="D413" s="33" t="s">
        <v>647</v>
      </c>
      <c r="E413" s="34">
        <v>45107</v>
      </c>
      <c r="F413" s="35">
        <f>227.148793*G413</f>
        <v>2271.4879300000002</v>
      </c>
      <c r="G413" s="36">
        <v>10</v>
      </c>
      <c r="H413" s="37">
        <f t="shared" si="72"/>
        <v>227.14879300000001</v>
      </c>
      <c r="I413" s="35">
        <v>40521.442999999999</v>
      </c>
      <c r="J413" s="35">
        <v>87155.366999999998</v>
      </c>
      <c r="K413" s="35">
        <v>36165.267</v>
      </c>
      <c r="L413" s="35">
        <v>3197.6480000000001</v>
      </c>
      <c r="M413" s="35">
        <v>5731.6580000000004</v>
      </c>
      <c r="N413" s="37">
        <f t="shared" si="73"/>
        <v>3120.5520000000001</v>
      </c>
      <c r="O413" s="35">
        <v>2611.1060000000002</v>
      </c>
      <c r="P413" s="38">
        <v>0</v>
      </c>
      <c r="Q413" s="38">
        <v>0</v>
      </c>
      <c r="R413" s="39">
        <f t="shared" si="74"/>
        <v>0</v>
      </c>
      <c r="S413" s="38"/>
      <c r="T413" s="40">
        <v>7709</v>
      </c>
    </row>
    <row r="414" spans="2:20" ht="15.6" x14ac:dyDescent="0.3">
      <c r="B414" s="32">
        <f t="shared" si="75"/>
        <v>15</v>
      </c>
      <c r="C414" s="32" t="s">
        <v>648</v>
      </c>
      <c r="D414" s="33" t="s">
        <v>649</v>
      </c>
      <c r="E414" s="34">
        <v>45107</v>
      </c>
      <c r="F414" s="35">
        <f>1111.87048*G414</f>
        <v>11118.7048</v>
      </c>
      <c r="G414" s="36">
        <v>10</v>
      </c>
      <c r="H414" s="37">
        <f t="shared" si="72"/>
        <v>1111.87048</v>
      </c>
      <c r="I414" s="35">
        <v>17568.026999999998</v>
      </c>
      <c r="J414" s="35">
        <v>48530.623</v>
      </c>
      <c r="K414" s="35">
        <v>28939.096000000001</v>
      </c>
      <c r="L414" s="35">
        <v>3830.7869999999998</v>
      </c>
      <c r="M414" s="35">
        <v>-80.911000000000001</v>
      </c>
      <c r="N414" s="37">
        <f t="shared" si="73"/>
        <v>-249.904</v>
      </c>
      <c r="O414" s="35">
        <v>168.99299999999999</v>
      </c>
      <c r="P414" s="38">
        <v>0</v>
      </c>
      <c r="Q414" s="38">
        <v>0</v>
      </c>
      <c r="R414" s="39">
        <f t="shared" si="74"/>
        <v>0</v>
      </c>
      <c r="S414" s="38"/>
      <c r="T414" s="40">
        <v>11124</v>
      </c>
    </row>
    <row r="415" spans="2:20" ht="15.6" x14ac:dyDescent="0.3">
      <c r="B415" s="32"/>
      <c r="C415" s="32" t="s">
        <v>650</v>
      </c>
      <c r="D415" s="33" t="s">
        <v>651</v>
      </c>
      <c r="E415" s="34">
        <v>45107</v>
      </c>
      <c r="F415" s="35"/>
      <c r="G415" s="36">
        <v>10</v>
      </c>
      <c r="H415" s="37">
        <f t="shared" si="72"/>
        <v>0</v>
      </c>
      <c r="I415" s="35"/>
      <c r="J415" s="35"/>
      <c r="K415" s="35"/>
      <c r="L415" s="35"/>
      <c r="M415" s="35"/>
      <c r="N415" s="37">
        <f t="shared" si="73"/>
        <v>0</v>
      </c>
      <c r="O415" s="35"/>
      <c r="P415" s="38"/>
      <c r="Q415" s="38"/>
      <c r="R415" s="39">
        <f t="shared" ref="R415" si="76">SUM(P415:Q415)</f>
        <v>0</v>
      </c>
      <c r="S415" s="38"/>
      <c r="T415" s="40"/>
    </row>
    <row r="416" spans="2:20" ht="15.6" x14ac:dyDescent="0.3">
      <c r="B416" s="32">
        <f>+B414+1</f>
        <v>16</v>
      </c>
      <c r="C416" s="32" t="s">
        <v>652</v>
      </c>
      <c r="D416" s="33" t="s">
        <v>653</v>
      </c>
      <c r="E416" s="34">
        <v>45107</v>
      </c>
      <c r="F416" s="35">
        <f>25*G416</f>
        <v>250</v>
      </c>
      <c r="G416" s="36">
        <v>10</v>
      </c>
      <c r="H416" s="37">
        <f t="shared" si="72"/>
        <v>25</v>
      </c>
      <c r="I416" s="35">
        <v>274.29466200000002</v>
      </c>
      <c r="J416" s="35">
        <v>744.98304800000005</v>
      </c>
      <c r="K416" s="35">
        <v>1432.034758</v>
      </c>
      <c r="L416" s="35">
        <v>40.873517999999997</v>
      </c>
      <c r="M416" s="35">
        <v>206.97293099999999</v>
      </c>
      <c r="N416" s="37">
        <f t="shared" si="73"/>
        <v>73.602474000000001</v>
      </c>
      <c r="O416" s="35">
        <v>133.37045699999999</v>
      </c>
      <c r="P416" s="38">
        <v>0</v>
      </c>
      <c r="Q416" s="38">
        <v>0</v>
      </c>
      <c r="R416" s="39">
        <f t="shared" si="74"/>
        <v>0</v>
      </c>
      <c r="S416" s="38"/>
      <c r="T416" s="40">
        <v>667</v>
      </c>
    </row>
    <row r="417" spans="2:20" ht="15.6" x14ac:dyDescent="0.3">
      <c r="B417" s="32">
        <f t="shared" si="75"/>
        <v>17</v>
      </c>
      <c r="C417" s="32" t="s">
        <v>654</v>
      </c>
      <c r="D417" s="33" t="s">
        <v>655</v>
      </c>
      <c r="E417" s="34">
        <v>45107</v>
      </c>
      <c r="F417" s="35">
        <f>99.718125*G417</f>
        <v>997.18124999999998</v>
      </c>
      <c r="G417" s="36">
        <v>10</v>
      </c>
      <c r="H417" s="37">
        <f t="shared" si="72"/>
        <v>99.718125000000001</v>
      </c>
      <c r="I417" s="35">
        <v>2984.7089999999998</v>
      </c>
      <c r="J417" s="35">
        <v>4742.9809999999998</v>
      </c>
      <c r="K417" s="35">
        <v>5410.1319999999996</v>
      </c>
      <c r="L417" s="35">
        <v>50.857999999999997</v>
      </c>
      <c r="M417" s="35">
        <v>364.52800000000002</v>
      </c>
      <c r="N417" s="37">
        <f t="shared" si="73"/>
        <v>115.45100000000002</v>
      </c>
      <c r="O417" s="35">
        <v>249.077</v>
      </c>
      <c r="P417" s="38">
        <v>0</v>
      </c>
      <c r="Q417" s="38">
        <v>0</v>
      </c>
      <c r="R417" s="39">
        <f t="shared" si="74"/>
        <v>0</v>
      </c>
      <c r="S417" s="38"/>
      <c r="T417" s="40">
        <v>2042</v>
      </c>
    </row>
    <row r="419" spans="2:20" ht="15.6" x14ac:dyDescent="0.3">
      <c r="B419" s="61"/>
      <c r="C419" s="61"/>
      <c r="D419" s="63"/>
      <c r="E419" s="64"/>
      <c r="F419" s="65"/>
      <c r="G419" s="42"/>
      <c r="H419" s="66"/>
      <c r="I419" s="65"/>
      <c r="J419" s="65"/>
      <c r="K419" s="65"/>
      <c r="L419" s="65"/>
      <c r="M419" s="65"/>
      <c r="N419" s="66"/>
      <c r="O419" s="65"/>
      <c r="P419" s="67"/>
      <c r="Q419" s="67"/>
      <c r="R419" s="68"/>
      <c r="S419" s="67"/>
      <c r="T419" s="69"/>
    </row>
    <row r="420" spans="2:20" ht="18" x14ac:dyDescent="0.35">
      <c r="B420" s="27"/>
      <c r="C420" s="27"/>
      <c r="D420" s="55" t="s">
        <v>43</v>
      </c>
      <c r="E420" s="27"/>
      <c r="F420" s="27"/>
      <c r="G420" s="42"/>
      <c r="H420" s="43"/>
      <c r="I420" s="29"/>
      <c r="J420" s="29"/>
      <c r="K420" s="29"/>
      <c r="L420" s="29"/>
      <c r="M420" s="29"/>
      <c r="N420" s="44"/>
      <c r="O420" s="29"/>
      <c r="P420" s="29"/>
      <c r="Q420" s="29"/>
      <c r="R420" s="44"/>
      <c r="S420" s="29"/>
      <c r="T420" s="29"/>
    </row>
    <row r="421" spans="2:20" ht="15.6" x14ac:dyDescent="0.3">
      <c r="B421" s="32">
        <v>1</v>
      </c>
      <c r="C421" s="32" t="s">
        <v>656</v>
      </c>
      <c r="D421" s="45" t="s">
        <v>657</v>
      </c>
      <c r="E421" s="34">
        <v>45107</v>
      </c>
      <c r="F421" s="35">
        <f>98.236644*G421</f>
        <v>982.36644000000001</v>
      </c>
      <c r="G421" s="36">
        <v>10</v>
      </c>
      <c r="H421" s="37">
        <f>+F421/G421</f>
        <v>98.236643999999998</v>
      </c>
      <c r="I421" s="35">
        <v>240.43600000000001</v>
      </c>
      <c r="J421" s="35">
        <v>248.78</v>
      </c>
      <c r="K421" s="35">
        <v>0</v>
      </c>
      <c r="L421" s="35">
        <v>0</v>
      </c>
      <c r="M421" s="35">
        <v>4.4960000000000004</v>
      </c>
      <c r="N421" s="37">
        <f>+M421-O421</f>
        <v>0.88600000000000056</v>
      </c>
      <c r="O421" s="35">
        <v>3.61</v>
      </c>
      <c r="P421" s="38">
        <v>0</v>
      </c>
      <c r="Q421" s="38">
        <v>0</v>
      </c>
      <c r="R421" s="39">
        <f>SUM(P421:Q421)</f>
        <v>0</v>
      </c>
      <c r="S421" s="38"/>
      <c r="T421" s="40">
        <v>4820</v>
      </c>
    </row>
    <row r="422" spans="2:20" ht="15.6" x14ac:dyDescent="0.3">
      <c r="B422" s="32">
        <f>+B421+1</f>
        <v>2</v>
      </c>
      <c r="C422" s="32" t="s">
        <v>658</v>
      </c>
      <c r="D422" s="33" t="s">
        <v>659</v>
      </c>
      <c r="E422" s="34">
        <v>45107</v>
      </c>
      <c r="F422" s="35"/>
      <c r="G422" s="36">
        <v>10</v>
      </c>
      <c r="H422" s="37">
        <f>+F422/G422</f>
        <v>0</v>
      </c>
      <c r="I422" s="35"/>
      <c r="J422" s="35"/>
      <c r="K422" s="35"/>
      <c r="L422" s="35"/>
      <c r="M422" s="35"/>
      <c r="N422" s="37">
        <f>+M422-O422</f>
        <v>0</v>
      </c>
      <c r="O422" s="35"/>
      <c r="P422" s="38"/>
      <c r="Q422" s="38"/>
      <c r="R422" s="39">
        <f>SUM(P422:Q422)</f>
        <v>0</v>
      </c>
      <c r="S422" s="38"/>
      <c r="T422" s="40"/>
    </row>
    <row r="423" spans="2:20" ht="15.6" x14ac:dyDescent="0.3">
      <c r="B423" s="61"/>
      <c r="C423" s="61"/>
      <c r="D423" s="63"/>
      <c r="E423" s="64"/>
      <c r="F423" s="65"/>
      <c r="G423" s="42"/>
      <c r="H423" s="66"/>
      <c r="I423" s="65"/>
      <c r="J423" s="65"/>
      <c r="K423" s="65"/>
      <c r="L423" s="65"/>
      <c r="M423" s="65"/>
      <c r="N423" s="66"/>
      <c r="O423" s="65"/>
      <c r="P423" s="67"/>
      <c r="Q423" s="67"/>
      <c r="R423" s="68"/>
      <c r="S423" s="67"/>
      <c r="T423" s="69"/>
    </row>
    <row r="424" spans="2:20" ht="15.6" x14ac:dyDescent="0.3">
      <c r="B424" s="46">
        <f>COUNT(B400:B423)</f>
        <v>19</v>
      </c>
      <c r="C424" s="46"/>
      <c r="D424" s="47"/>
      <c r="E424" s="47"/>
      <c r="F424" s="47">
        <f>SUM(F400:F423)</f>
        <v>88460.186070000011</v>
      </c>
      <c r="G424" s="48"/>
      <c r="H424" s="49">
        <f>SUM(H400:H423)</f>
        <v>8846.018607</v>
      </c>
      <c r="I424" s="47">
        <f>SUM(I400:I423)</f>
        <v>575473.05104200006</v>
      </c>
      <c r="J424" s="47">
        <f>SUM(J400:J423)</f>
        <v>1149725.82809</v>
      </c>
      <c r="K424" s="47">
        <f>SUM(K400:K423)</f>
        <v>603875.18586700002</v>
      </c>
      <c r="L424" s="47">
        <f>SUM(L400:L423)</f>
        <v>32256.154435000004</v>
      </c>
      <c r="M424" s="47">
        <f>SUM(M400:M423)</f>
        <v>98449.340119</v>
      </c>
      <c r="N424" s="50">
        <f>SUM(N400:N423)</f>
        <v>49212.886501000001</v>
      </c>
      <c r="O424" s="47">
        <f>SUM(O400:O423)</f>
        <v>49236.453617999992</v>
      </c>
      <c r="P424" s="51"/>
      <c r="Q424" s="51"/>
      <c r="R424" s="52"/>
      <c r="S424" s="51"/>
      <c r="T424" s="53">
        <f>SUM(T400:T423)</f>
        <v>118692</v>
      </c>
    </row>
    <row r="425" spans="2:20" ht="15.6" x14ac:dyDescent="0.3">
      <c r="B425" s="61"/>
      <c r="C425" s="61"/>
      <c r="D425" s="63"/>
      <c r="E425" s="64"/>
      <c r="F425" s="65"/>
      <c r="G425" s="42"/>
      <c r="H425" s="66"/>
      <c r="I425" s="65"/>
      <c r="J425" s="65"/>
      <c r="K425" s="65"/>
      <c r="L425" s="65"/>
      <c r="M425" s="65"/>
      <c r="N425" s="66"/>
      <c r="O425" s="65"/>
      <c r="P425" s="67"/>
      <c r="Q425" s="67"/>
      <c r="R425" s="68"/>
      <c r="S425" s="67"/>
      <c r="T425" s="69"/>
    </row>
    <row r="426" spans="2:20" ht="15.6" x14ac:dyDescent="0.3">
      <c r="B426" s="61"/>
      <c r="C426" s="61"/>
      <c r="D426" s="63"/>
      <c r="E426" s="64"/>
      <c r="F426" s="65"/>
      <c r="G426" s="42"/>
      <c r="H426" s="66"/>
      <c r="I426" s="65"/>
      <c r="J426" s="65"/>
      <c r="K426" s="65"/>
      <c r="L426" s="65"/>
      <c r="M426" s="65"/>
      <c r="N426" s="66"/>
      <c r="O426" s="65"/>
      <c r="P426" s="67"/>
      <c r="Q426" s="67"/>
      <c r="R426" s="68"/>
      <c r="S426" s="67"/>
      <c r="T426" s="69"/>
    </row>
    <row r="427" spans="2:20" ht="18" x14ac:dyDescent="0.35">
      <c r="B427" s="27"/>
      <c r="C427" s="31">
        <v>16</v>
      </c>
      <c r="D427" s="31" t="s">
        <v>660</v>
      </c>
      <c r="E427" s="60"/>
      <c r="F427" s="60"/>
      <c r="G427" s="42"/>
      <c r="H427" s="43"/>
      <c r="I427" s="29"/>
      <c r="J427" s="29"/>
      <c r="K427" s="29"/>
      <c r="L427" s="29"/>
      <c r="M427" s="29"/>
      <c r="N427" s="44"/>
      <c r="O427" s="29"/>
      <c r="P427" s="29"/>
      <c r="Q427" s="29"/>
      <c r="R427" s="44"/>
      <c r="S427" s="29"/>
      <c r="T427" s="29"/>
    </row>
    <row r="428" spans="2:20" ht="15.6" x14ac:dyDescent="0.3">
      <c r="B428" s="61"/>
      <c r="C428" s="61"/>
      <c r="D428" s="63"/>
      <c r="E428" s="64"/>
      <c r="F428" s="65"/>
      <c r="G428" s="42"/>
      <c r="H428" s="66"/>
      <c r="I428" s="65"/>
      <c r="J428" s="65"/>
      <c r="K428" s="65"/>
      <c r="L428" s="65"/>
      <c r="M428" s="65"/>
      <c r="N428" s="66"/>
      <c r="O428" s="65"/>
      <c r="P428" s="67"/>
      <c r="Q428" s="67"/>
      <c r="R428" s="68"/>
      <c r="S428" s="67"/>
      <c r="T428" s="69"/>
    </row>
    <row r="429" spans="2:20" ht="15.6" x14ac:dyDescent="0.3">
      <c r="B429" s="32">
        <v>1</v>
      </c>
      <c r="C429" s="32" t="s">
        <v>661</v>
      </c>
      <c r="D429" s="45" t="s">
        <v>662</v>
      </c>
      <c r="E429" s="34">
        <v>45107</v>
      </c>
      <c r="F429" s="35">
        <f>95.008489*G429</f>
        <v>950.08488999999997</v>
      </c>
      <c r="G429" s="36">
        <v>10</v>
      </c>
      <c r="H429" s="37">
        <f>+F429/G429</f>
        <v>95.008488999999997</v>
      </c>
      <c r="I429" s="35">
        <v>3051.5699129999998</v>
      </c>
      <c r="J429" s="35">
        <v>3754.5857649999998</v>
      </c>
      <c r="K429" s="35">
        <v>298.140264</v>
      </c>
      <c r="L429" s="35">
        <v>27.421976999999998</v>
      </c>
      <c r="M429" s="35">
        <v>241.78324000000001</v>
      </c>
      <c r="N429" s="37">
        <f>+M429-O429</f>
        <v>94.066428999999999</v>
      </c>
      <c r="O429" s="35">
        <v>147.71681100000001</v>
      </c>
      <c r="P429" s="38">
        <v>5</v>
      </c>
      <c r="Q429" s="38">
        <v>0</v>
      </c>
      <c r="R429" s="39">
        <f>SUM(P429:Q429)</f>
        <v>5</v>
      </c>
      <c r="S429" s="38"/>
      <c r="T429" s="40">
        <v>7521</v>
      </c>
    </row>
    <row r="430" spans="2:20" ht="15.6" x14ac:dyDescent="0.3">
      <c r="B430" s="32">
        <f>+B429+1</f>
        <v>2</v>
      </c>
      <c r="C430" s="32" t="s">
        <v>663</v>
      </c>
      <c r="D430" s="45" t="s">
        <v>664</v>
      </c>
      <c r="E430" s="34">
        <v>45107</v>
      </c>
      <c r="F430" s="35">
        <f>380.860447*G430</f>
        <v>3808.6044700000002</v>
      </c>
      <c r="G430" s="36">
        <v>10</v>
      </c>
      <c r="H430" s="37">
        <f>+F430/G430</f>
        <v>380.86044700000002</v>
      </c>
      <c r="I430" s="35">
        <v>25921.679</v>
      </c>
      <c r="J430" s="35">
        <v>42883.146000000001</v>
      </c>
      <c r="K430" s="35">
        <v>16827.214</v>
      </c>
      <c r="L430" s="35">
        <v>336.73</v>
      </c>
      <c r="M430" s="35">
        <v>6966.69</v>
      </c>
      <c r="N430" s="37">
        <f>+M430-O430</f>
        <v>224.73899999999958</v>
      </c>
      <c r="O430" s="35">
        <v>6741.951</v>
      </c>
      <c r="P430" s="38">
        <v>60</v>
      </c>
      <c r="Q430" s="38">
        <v>0</v>
      </c>
      <c r="R430" s="39">
        <f>SUM(P430:Q430)</f>
        <v>60</v>
      </c>
      <c r="S430" s="38"/>
      <c r="T430" s="40">
        <v>2943</v>
      </c>
    </row>
    <row r="431" spans="2:20" ht="15.6" x14ac:dyDescent="0.3">
      <c r="B431" s="32">
        <f>+B430+1</f>
        <v>3</v>
      </c>
      <c r="C431" s="59" t="s">
        <v>665</v>
      </c>
      <c r="D431" s="33" t="s">
        <v>666</v>
      </c>
      <c r="E431" s="34">
        <v>45107</v>
      </c>
      <c r="F431" s="35">
        <f>278.876604*G431</f>
        <v>2788.76604</v>
      </c>
      <c r="G431" s="36">
        <v>10</v>
      </c>
      <c r="H431" s="37">
        <f>+F431/G431</f>
        <v>278.87660399999999</v>
      </c>
      <c r="I431" s="35">
        <v>-1677.5129999999999</v>
      </c>
      <c r="J431" s="35">
        <v>6872.1059999999998</v>
      </c>
      <c r="K431" s="35">
        <v>241.809</v>
      </c>
      <c r="L431" s="35">
        <v>182.541</v>
      </c>
      <c r="M431" s="35">
        <v>-1674.5809999999999</v>
      </c>
      <c r="N431" s="37">
        <f>+M431-O431</f>
        <v>3.0230000000001382</v>
      </c>
      <c r="O431" s="35">
        <v>-1677.604</v>
      </c>
      <c r="P431" s="38">
        <v>0</v>
      </c>
      <c r="Q431" s="38">
        <v>0</v>
      </c>
      <c r="R431" s="39">
        <f>SUM(P431:Q431)</f>
        <v>0</v>
      </c>
      <c r="S431" s="38"/>
      <c r="T431" s="40">
        <v>10450</v>
      </c>
    </row>
    <row r="432" spans="2:20" ht="15.6" x14ac:dyDescent="0.3">
      <c r="B432" s="32">
        <f>+B431+1</f>
        <v>4</v>
      </c>
      <c r="C432" s="32" t="s">
        <v>667</v>
      </c>
      <c r="D432" s="33" t="s">
        <v>668</v>
      </c>
      <c r="E432" s="34">
        <v>45107</v>
      </c>
      <c r="F432" s="35">
        <v>5698.06567</v>
      </c>
      <c r="G432" s="36">
        <v>10</v>
      </c>
      <c r="H432" s="37">
        <f>+F432/G432</f>
        <v>569.80656699999997</v>
      </c>
      <c r="I432" s="35">
        <v>13726.584306000001</v>
      </c>
      <c r="J432" s="35">
        <v>18124.552632999999</v>
      </c>
      <c r="K432" s="35">
        <v>5286.45</v>
      </c>
      <c r="L432" s="35">
        <v>160.55809600000001</v>
      </c>
      <c r="M432" s="35">
        <v>4290.9756230000003</v>
      </c>
      <c r="N432" s="37">
        <f>+M432-O432</f>
        <v>20.110705000000053</v>
      </c>
      <c r="O432" s="35">
        <v>4270.8649180000002</v>
      </c>
      <c r="P432" s="38">
        <f>20</f>
        <v>20</v>
      </c>
      <c r="Q432" s="38">
        <v>0</v>
      </c>
      <c r="R432" s="39">
        <f>SUM(P432:Q432)</f>
        <v>20</v>
      </c>
      <c r="S432" s="38"/>
      <c r="T432" s="40">
        <v>6742</v>
      </c>
    </row>
    <row r="433" spans="2:20" ht="15.6" x14ac:dyDescent="0.3">
      <c r="B433" s="61"/>
      <c r="C433" s="61"/>
      <c r="D433" s="63"/>
      <c r="E433" s="64"/>
      <c r="F433" s="65"/>
      <c r="G433" s="42"/>
      <c r="H433" s="66"/>
      <c r="I433" s="65"/>
      <c r="J433" s="65"/>
      <c r="K433" s="65"/>
      <c r="L433" s="65"/>
      <c r="M433" s="65"/>
      <c r="N433" s="66"/>
      <c r="O433" s="65"/>
      <c r="P433" s="67"/>
      <c r="Q433" s="67"/>
      <c r="R433" s="68"/>
      <c r="S433" s="67"/>
      <c r="T433" s="69"/>
    </row>
    <row r="434" spans="2:20" ht="15.6" x14ac:dyDescent="0.3">
      <c r="B434" s="46">
        <f>COUNT(B429:B433)</f>
        <v>4</v>
      </c>
      <c r="C434" s="46"/>
      <c r="D434" s="47"/>
      <c r="E434" s="47"/>
      <c r="F434" s="47">
        <f>SUM(F429:F433)</f>
        <v>13245.521070000001</v>
      </c>
      <c r="G434" s="48"/>
      <c r="H434" s="49">
        <f t="shared" ref="H434:O434" si="77">SUM(H429:H433)</f>
        <v>1324.552107</v>
      </c>
      <c r="I434" s="47">
        <f t="shared" si="77"/>
        <v>41022.320219000001</v>
      </c>
      <c r="J434" s="47">
        <f t="shared" si="77"/>
        <v>71634.390398000003</v>
      </c>
      <c r="K434" s="47">
        <f t="shared" si="77"/>
        <v>22653.613264000003</v>
      </c>
      <c r="L434" s="47">
        <f t="shared" si="77"/>
        <v>707.25107299999991</v>
      </c>
      <c r="M434" s="47">
        <f t="shared" si="77"/>
        <v>9824.8678629999995</v>
      </c>
      <c r="N434" s="50">
        <f t="shared" si="77"/>
        <v>341.93913399999974</v>
      </c>
      <c r="O434" s="47">
        <f t="shared" si="77"/>
        <v>9482.9287289999993</v>
      </c>
      <c r="P434" s="51"/>
      <c r="Q434" s="51"/>
      <c r="R434" s="52"/>
      <c r="S434" s="51"/>
      <c r="T434" s="53">
        <f>SUM(T429:T433)</f>
        <v>27656</v>
      </c>
    </row>
    <row r="435" spans="2:20" ht="15.6" x14ac:dyDescent="0.3">
      <c r="B435" s="61"/>
      <c r="C435" s="61"/>
      <c r="D435" s="63"/>
      <c r="E435" s="64"/>
      <c r="F435" s="65"/>
      <c r="G435" s="42"/>
      <c r="H435" s="66"/>
      <c r="I435" s="65"/>
      <c r="J435" s="65"/>
      <c r="K435" s="65"/>
      <c r="L435" s="65"/>
      <c r="M435" s="65"/>
      <c r="N435" s="66"/>
      <c r="O435" s="65"/>
      <c r="P435" s="67"/>
      <c r="Q435" s="67"/>
      <c r="R435" s="68"/>
      <c r="S435" s="67"/>
      <c r="T435" s="69"/>
    </row>
    <row r="436" spans="2:20" ht="15.6" x14ac:dyDescent="0.3">
      <c r="B436" s="61"/>
      <c r="C436" s="61"/>
      <c r="D436" s="63"/>
      <c r="E436" s="64"/>
      <c r="F436" s="65"/>
      <c r="G436" s="42"/>
      <c r="H436" s="66"/>
      <c r="I436" s="65"/>
      <c r="J436" s="65"/>
      <c r="K436" s="65"/>
      <c r="L436" s="65"/>
      <c r="M436" s="65"/>
      <c r="N436" s="66"/>
      <c r="O436" s="65"/>
      <c r="P436" s="67"/>
      <c r="Q436" s="67"/>
      <c r="R436" s="68"/>
      <c r="S436" s="67"/>
      <c r="T436" s="69"/>
    </row>
    <row r="437" spans="2:20" ht="18" x14ac:dyDescent="0.35">
      <c r="B437" s="27"/>
      <c r="C437" s="31">
        <v>17</v>
      </c>
      <c r="D437" s="31" t="s">
        <v>669</v>
      </c>
      <c r="E437" s="60"/>
      <c r="F437" s="60"/>
      <c r="G437" s="42"/>
      <c r="H437" s="43"/>
      <c r="I437" s="29"/>
      <c r="J437" s="29"/>
      <c r="K437" s="29"/>
      <c r="L437" s="29"/>
      <c r="M437" s="29"/>
      <c r="N437" s="44"/>
      <c r="O437" s="29"/>
      <c r="P437" s="29"/>
      <c r="Q437" s="29"/>
      <c r="R437" s="44"/>
      <c r="S437" s="29"/>
      <c r="T437" s="29"/>
    </row>
    <row r="438" spans="2:20" ht="15.6" x14ac:dyDescent="0.3">
      <c r="B438" s="61"/>
      <c r="C438" s="61"/>
      <c r="D438" s="63"/>
      <c r="E438" s="64"/>
      <c r="F438" s="65"/>
      <c r="G438" s="42"/>
      <c r="H438" s="66"/>
      <c r="I438" s="65"/>
      <c r="J438" s="65"/>
      <c r="K438" s="65"/>
      <c r="L438" s="65"/>
      <c r="M438" s="65"/>
      <c r="N438" s="66"/>
      <c r="O438" s="65"/>
      <c r="P438" s="67"/>
      <c r="Q438" s="67"/>
      <c r="R438" s="68"/>
      <c r="S438" s="67"/>
      <c r="T438" s="69"/>
    </row>
    <row r="439" spans="2:20" ht="15.6" x14ac:dyDescent="0.3">
      <c r="B439" s="32">
        <v>1</v>
      </c>
      <c r="C439" s="32" t="s">
        <v>670</v>
      </c>
      <c r="D439" s="33" t="s">
        <v>671</v>
      </c>
      <c r="E439" s="34">
        <v>45107</v>
      </c>
      <c r="F439" s="35">
        <f>6.922604*G439</f>
        <v>69.226039999999998</v>
      </c>
      <c r="G439" s="36">
        <v>10</v>
      </c>
      <c r="H439" s="37">
        <f>+F439/G439</f>
        <v>6.9226039999999998</v>
      </c>
      <c r="I439" s="35">
        <v>3793.9402540000001</v>
      </c>
      <c r="J439" s="35">
        <v>7719.8171540000003</v>
      </c>
      <c r="K439" s="35">
        <v>7434.5478869999997</v>
      </c>
      <c r="L439" s="35">
        <v>276.640353</v>
      </c>
      <c r="M439" s="35">
        <v>2124.1534109999998</v>
      </c>
      <c r="N439" s="37">
        <f>+M439-O439</f>
        <v>125.75255399999969</v>
      </c>
      <c r="O439" s="35">
        <v>1998.4008570000001</v>
      </c>
      <c r="P439" s="38">
        <v>10</v>
      </c>
      <c r="Q439" s="38">
        <f>20</f>
        <v>20</v>
      </c>
      <c r="R439" s="39">
        <f>SUM(P439:Q439)</f>
        <v>30</v>
      </c>
      <c r="S439" s="38"/>
      <c r="T439" s="40">
        <v>1178</v>
      </c>
    </row>
    <row r="440" spans="2:20" ht="15.6" x14ac:dyDescent="0.3">
      <c r="B440" s="32">
        <f>+B439+1</f>
        <v>2</v>
      </c>
      <c r="C440" s="32" t="s">
        <v>672</v>
      </c>
      <c r="D440" s="33" t="s">
        <v>673</v>
      </c>
      <c r="E440" s="34">
        <v>45291</v>
      </c>
      <c r="F440" s="35">
        <f>255.493792*G440</f>
        <v>2554.9379200000003</v>
      </c>
      <c r="G440" s="36">
        <v>10</v>
      </c>
      <c r="H440" s="37">
        <f>+F440/G440</f>
        <v>255.49379200000004</v>
      </c>
      <c r="I440" s="35">
        <v>51315.173000000003</v>
      </c>
      <c r="J440" s="35">
        <f>23065.905+86518.169</f>
        <v>109584.07399999999</v>
      </c>
      <c r="K440" s="35">
        <v>109932.868</v>
      </c>
      <c r="L440" s="35">
        <v>617.94500000000005</v>
      </c>
      <c r="M440" s="35">
        <v>50012.455999999998</v>
      </c>
      <c r="N440" s="37">
        <f>+M440-O440</f>
        <v>21052.792999999998</v>
      </c>
      <c r="O440" s="35">
        <v>28959.663</v>
      </c>
      <c r="P440" s="38">
        <f>100+220</f>
        <v>320</v>
      </c>
      <c r="Q440" s="38">
        <v>0</v>
      </c>
      <c r="R440" s="39">
        <f>SUM(P440:Q440)</f>
        <v>320</v>
      </c>
      <c r="S440" s="38"/>
      <c r="T440" s="40">
        <v>3292</v>
      </c>
    </row>
    <row r="441" spans="2:20" ht="15.6" x14ac:dyDescent="0.3">
      <c r="B441" s="32">
        <f>+B440+1</f>
        <v>3</v>
      </c>
      <c r="C441" s="32" t="s">
        <v>674</v>
      </c>
      <c r="D441" s="33" t="s">
        <v>675</v>
      </c>
      <c r="E441" s="34">
        <v>45291</v>
      </c>
      <c r="F441" s="35">
        <v>615.80340999999999</v>
      </c>
      <c r="G441" s="36">
        <v>10</v>
      </c>
      <c r="H441" s="37">
        <f>+F441/G441</f>
        <v>61.580340999999997</v>
      </c>
      <c r="I441" s="35">
        <v>15594.823</v>
      </c>
      <c r="J441" s="35">
        <v>30534.774000000001</v>
      </c>
      <c r="K441" s="35">
        <v>18219.708999999999</v>
      </c>
      <c r="L441" s="35">
        <v>90.335999999999999</v>
      </c>
      <c r="M441" s="35">
        <v>955.66600000000005</v>
      </c>
      <c r="N441" s="37">
        <f>+M441-O441</f>
        <v>575.86500000000001</v>
      </c>
      <c r="O441" s="35">
        <v>379.80099999999999</v>
      </c>
      <c r="P441" s="38">
        <v>0</v>
      </c>
      <c r="Q441" s="38">
        <v>0</v>
      </c>
      <c r="R441" s="39">
        <f>SUM(P441:Q441)</f>
        <v>0</v>
      </c>
      <c r="S441" s="38"/>
      <c r="T441" s="40">
        <v>1581</v>
      </c>
    </row>
    <row r="442" spans="2:20" ht="15.6" x14ac:dyDescent="0.3">
      <c r="B442" s="61"/>
      <c r="C442" s="61"/>
      <c r="D442" s="63"/>
      <c r="E442" s="64"/>
      <c r="F442" s="65"/>
      <c r="G442" s="42"/>
      <c r="H442" s="66"/>
      <c r="I442" s="65"/>
      <c r="J442" s="65"/>
      <c r="K442" s="65"/>
      <c r="L442" s="65"/>
      <c r="M442" s="65"/>
      <c r="N442" s="66"/>
      <c r="O442" s="65"/>
      <c r="P442" s="67"/>
      <c r="Q442" s="67"/>
      <c r="R442" s="68"/>
      <c r="S442" s="67"/>
      <c r="T442" s="69"/>
    </row>
    <row r="443" spans="2:20" ht="15.6" x14ac:dyDescent="0.3">
      <c r="B443" s="46">
        <f>COUNT(B439:B442)</f>
        <v>3</v>
      </c>
      <c r="C443" s="46"/>
      <c r="D443" s="47"/>
      <c r="E443" s="47"/>
      <c r="F443" s="47">
        <f>SUM(F439:F442)</f>
        <v>3239.9673700000003</v>
      </c>
      <c r="G443" s="48"/>
      <c r="H443" s="49">
        <f t="shared" ref="H443:O443" si="78">SUM(H439:H442)</f>
        <v>323.996737</v>
      </c>
      <c r="I443" s="47">
        <f t="shared" si="78"/>
        <v>70703.936254</v>
      </c>
      <c r="J443" s="47">
        <f t="shared" si="78"/>
        <v>147838.66515399999</v>
      </c>
      <c r="K443" s="47">
        <f t="shared" si="78"/>
        <v>135587.12488699998</v>
      </c>
      <c r="L443" s="47">
        <f t="shared" si="78"/>
        <v>984.92135300000007</v>
      </c>
      <c r="M443" s="47">
        <f t="shared" si="78"/>
        <v>53092.275410999995</v>
      </c>
      <c r="N443" s="50">
        <f t="shared" si="78"/>
        <v>21754.410553999998</v>
      </c>
      <c r="O443" s="47">
        <f t="shared" si="78"/>
        <v>31337.864857</v>
      </c>
      <c r="P443" s="51"/>
      <c r="Q443" s="51"/>
      <c r="R443" s="52"/>
      <c r="S443" s="51"/>
      <c r="T443" s="53">
        <f>SUM(T439:T442)</f>
        <v>6051</v>
      </c>
    </row>
    <row r="444" spans="2:20" ht="15.6" x14ac:dyDescent="0.3">
      <c r="B444" s="61"/>
      <c r="C444" s="61"/>
      <c r="D444" s="63"/>
      <c r="E444" s="64"/>
      <c r="F444" s="65"/>
      <c r="G444" s="42"/>
      <c r="H444" s="66"/>
      <c r="I444" s="65"/>
      <c r="J444" s="65"/>
      <c r="K444" s="65"/>
      <c r="L444" s="65"/>
      <c r="M444" s="65"/>
      <c r="N444" s="66"/>
      <c r="O444" s="65"/>
      <c r="P444" s="67"/>
      <c r="Q444" s="67"/>
      <c r="R444" s="68"/>
      <c r="S444" s="67"/>
      <c r="T444" s="69"/>
    </row>
    <row r="445" spans="2:20" ht="15.6" x14ac:dyDescent="0.3">
      <c r="B445" s="61"/>
      <c r="C445" s="61"/>
      <c r="D445" s="63"/>
      <c r="E445" s="64"/>
      <c r="F445" s="65"/>
      <c r="G445" s="42"/>
      <c r="H445" s="66"/>
      <c r="I445" s="65"/>
      <c r="J445" s="65"/>
      <c r="K445" s="65"/>
      <c r="L445" s="65"/>
      <c r="M445" s="65"/>
      <c r="N445" s="66"/>
      <c r="O445" s="65"/>
      <c r="P445" s="67"/>
      <c r="Q445" s="67"/>
      <c r="R445" s="68"/>
      <c r="S445" s="67"/>
      <c r="T445" s="69"/>
    </row>
    <row r="446" spans="2:20" ht="18" x14ac:dyDescent="0.35">
      <c r="B446" s="27"/>
      <c r="C446" s="31">
        <v>18</v>
      </c>
      <c r="D446" s="31" t="s">
        <v>676</v>
      </c>
      <c r="E446" s="60"/>
      <c r="F446" s="60"/>
      <c r="G446" s="42"/>
      <c r="H446" s="43"/>
      <c r="I446" s="29"/>
      <c r="J446" s="29"/>
      <c r="K446" s="29"/>
      <c r="L446" s="29"/>
      <c r="M446" s="29"/>
      <c r="N446" s="44"/>
      <c r="O446" s="29"/>
      <c r="P446" s="29"/>
      <c r="Q446" s="29"/>
      <c r="R446" s="44"/>
      <c r="S446" s="29"/>
      <c r="T446" s="29"/>
    </row>
    <row r="447" spans="2:20" ht="15.6" x14ac:dyDescent="0.3">
      <c r="B447" s="61"/>
      <c r="C447" s="61"/>
      <c r="D447" s="63"/>
      <c r="E447" s="64"/>
      <c r="F447" s="65"/>
      <c r="G447" s="42"/>
      <c r="H447" s="66"/>
      <c r="I447" s="65"/>
      <c r="J447" s="65"/>
      <c r="K447" s="65"/>
      <c r="L447" s="65"/>
      <c r="M447" s="65"/>
      <c r="N447" s="66"/>
      <c r="O447" s="65"/>
      <c r="P447" s="67"/>
      <c r="Q447" s="67"/>
      <c r="R447" s="68"/>
      <c r="S447" s="67"/>
      <c r="T447" s="69"/>
    </row>
    <row r="448" spans="2:20" ht="15.6" x14ac:dyDescent="0.3">
      <c r="B448" s="59">
        <v>1</v>
      </c>
      <c r="C448" s="59" t="s">
        <v>677</v>
      </c>
      <c r="D448" s="33" t="s">
        <v>678</v>
      </c>
      <c r="E448" s="34">
        <v>45107</v>
      </c>
      <c r="F448" s="35">
        <v>1066.1624999999999</v>
      </c>
      <c r="G448" s="36">
        <v>10</v>
      </c>
      <c r="H448" s="37">
        <f>+F448/G448</f>
        <v>106.61624999999999</v>
      </c>
      <c r="I448" s="35">
        <v>109772.77899999999</v>
      </c>
      <c r="J448" s="35">
        <v>176760.462</v>
      </c>
      <c r="K448" s="35">
        <v>369221.549</v>
      </c>
      <c r="L448" s="35">
        <v>2315.614</v>
      </c>
      <c r="M448" s="35">
        <f>46195.189+1597.399</f>
        <v>47792.587999999996</v>
      </c>
      <c r="N448" s="37">
        <f>+M448-O448</f>
        <v>18567.355999999996</v>
      </c>
      <c r="O448" s="35">
        <v>29225.232</v>
      </c>
      <c r="P448" s="38">
        <f>125</f>
        <v>125</v>
      </c>
      <c r="Q448" s="38">
        <v>0</v>
      </c>
      <c r="R448" s="39">
        <f>SUM(P448:Q448)</f>
        <v>125</v>
      </c>
      <c r="S448" s="38"/>
      <c r="T448" s="40">
        <v>6112</v>
      </c>
    </row>
    <row r="449" spans="2:20" ht="15.6" x14ac:dyDescent="0.3">
      <c r="B449" s="59">
        <f>+B448+1</f>
        <v>2</v>
      </c>
      <c r="C449" s="59" t="s">
        <v>679</v>
      </c>
      <c r="D449" s="33" t="s">
        <v>680</v>
      </c>
      <c r="E449" s="34">
        <v>45107</v>
      </c>
      <c r="F449" s="35">
        <f>5493.447571*G449</f>
        <v>54934.475709999999</v>
      </c>
      <c r="G449" s="36">
        <v>10</v>
      </c>
      <c r="H449" s="37">
        <f>+F449/G449</f>
        <v>5493.4475709999997</v>
      </c>
      <c r="I449" s="35">
        <v>178342.503</v>
      </c>
      <c r="J449" s="35">
        <v>346267.45699999999</v>
      </c>
      <c r="K449" s="35">
        <v>193912.16200000001</v>
      </c>
      <c r="L449" s="35">
        <v>6578.6480000000001</v>
      </c>
      <c r="M449" s="35">
        <v>-12213.937</v>
      </c>
      <c r="N449" s="37">
        <f>+M449-O449</f>
        <v>449.34200000000055</v>
      </c>
      <c r="O449" s="35">
        <v>-12663.279</v>
      </c>
      <c r="P449" s="38">
        <v>0</v>
      </c>
      <c r="Q449" s="38">
        <v>0</v>
      </c>
      <c r="R449" s="39">
        <f>SUM(P449:Q449)</f>
        <v>0</v>
      </c>
      <c r="S449" s="38"/>
      <c r="T449" s="40">
        <v>28541</v>
      </c>
    </row>
    <row r="450" spans="2:20" ht="15.6" x14ac:dyDescent="0.3">
      <c r="B450" s="59">
        <f>+B449+1</f>
        <v>3</v>
      </c>
      <c r="C450" s="59" t="s">
        <v>681</v>
      </c>
      <c r="D450" s="33" t="s">
        <v>682</v>
      </c>
      <c r="E450" s="34">
        <v>45107</v>
      </c>
      <c r="F450" s="35">
        <v>799.66560000000004</v>
      </c>
      <c r="G450" s="36">
        <v>10</v>
      </c>
      <c r="H450" s="37">
        <f>+F450/G450</f>
        <v>79.966560000000001</v>
      </c>
      <c r="I450" s="35">
        <v>34598.678999999996</v>
      </c>
      <c r="J450" s="35">
        <v>111779.91800000001</v>
      </c>
      <c r="K450" s="35">
        <v>298805.44900000002</v>
      </c>
      <c r="L450" s="35">
        <v>16244.344999999999</v>
      </c>
      <c r="M450" s="35">
        <v>-5122.7439999999997</v>
      </c>
      <c r="N450" s="37">
        <f>+M450-O450</f>
        <v>-659.65799999999945</v>
      </c>
      <c r="O450" s="35">
        <v>-4463.0860000000002</v>
      </c>
      <c r="P450" s="38">
        <v>0</v>
      </c>
      <c r="Q450" s="38">
        <v>0</v>
      </c>
      <c r="R450" s="39">
        <f>SUM(P450:Q450)</f>
        <v>0</v>
      </c>
      <c r="S450" s="38"/>
      <c r="T450" s="40">
        <v>8148</v>
      </c>
    </row>
    <row r="451" spans="2:20" ht="15.6" x14ac:dyDescent="0.3">
      <c r="B451" s="59">
        <f>+B450+1</f>
        <v>4</v>
      </c>
      <c r="C451" s="59" t="s">
        <v>683</v>
      </c>
      <c r="D451" s="33" t="s">
        <v>684</v>
      </c>
      <c r="E451" s="34">
        <v>45107</v>
      </c>
      <c r="F451" s="35">
        <v>6300</v>
      </c>
      <c r="G451" s="36">
        <v>10</v>
      </c>
      <c r="H451" s="37">
        <f>+F451/G451</f>
        <v>630</v>
      </c>
      <c r="I451" s="35">
        <v>25357.268</v>
      </c>
      <c r="J451" s="35">
        <v>105471.931</v>
      </c>
      <c r="K451" s="35">
        <v>261860.40400000001</v>
      </c>
      <c r="L451" s="35">
        <v>4065.998</v>
      </c>
      <c r="M451" s="35">
        <v>3372.5189999999998</v>
      </c>
      <c r="N451" s="37">
        <f>+M451-O451</f>
        <v>1547.5519999999997</v>
      </c>
      <c r="O451" s="35">
        <v>1824.9670000000001</v>
      </c>
      <c r="P451" s="38">
        <v>0</v>
      </c>
      <c r="Q451" s="38">
        <v>0</v>
      </c>
      <c r="R451" s="39">
        <f>SUM(P451:Q451)</f>
        <v>0</v>
      </c>
      <c r="S451" s="38"/>
      <c r="T451" s="40">
        <v>15767</v>
      </c>
    </row>
    <row r="452" spans="2:20" ht="15.6" x14ac:dyDescent="0.3">
      <c r="B452" s="61"/>
      <c r="C452" s="61"/>
      <c r="D452" s="63"/>
      <c r="E452" s="64"/>
      <c r="F452" s="65"/>
      <c r="G452" s="42"/>
      <c r="H452" s="66"/>
      <c r="I452" s="65"/>
      <c r="J452" s="65"/>
      <c r="K452" s="65"/>
      <c r="L452" s="65"/>
      <c r="M452" s="65"/>
      <c r="N452" s="66"/>
      <c r="O452" s="65"/>
      <c r="P452" s="67"/>
      <c r="Q452" s="67"/>
      <c r="R452" s="68"/>
      <c r="S452" s="67"/>
      <c r="T452" s="69"/>
    </row>
    <row r="453" spans="2:20" ht="15.6" x14ac:dyDescent="0.3">
      <c r="B453" s="46">
        <f>COUNT(B448:B452)</f>
        <v>4</v>
      </c>
      <c r="C453" s="46"/>
      <c r="D453" s="47"/>
      <c r="E453" s="47"/>
      <c r="F453" s="47">
        <f>SUM(F448:F452)</f>
        <v>63100.303809999998</v>
      </c>
      <c r="G453" s="48"/>
      <c r="H453" s="49">
        <f t="shared" ref="H453:O453" si="79">SUM(H448:H452)</f>
        <v>6310.0303809999996</v>
      </c>
      <c r="I453" s="47">
        <f t="shared" si="79"/>
        <v>348071.22899999999</v>
      </c>
      <c r="J453" s="47">
        <f t="shared" si="79"/>
        <v>740279.76800000004</v>
      </c>
      <c r="K453" s="47">
        <f t="shared" si="79"/>
        <v>1123799.564</v>
      </c>
      <c r="L453" s="47">
        <f t="shared" si="79"/>
        <v>29204.605</v>
      </c>
      <c r="M453" s="47">
        <f t="shared" si="79"/>
        <v>33828.425999999999</v>
      </c>
      <c r="N453" s="50">
        <f t="shared" si="79"/>
        <v>19904.591999999997</v>
      </c>
      <c r="O453" s="47">
        <f t="shared" si="79"/>
        <v>13923.834000000003</v>
      </c>
      <c r="P453" s="51"/>
      <c r="Q453" s="51"/>
      <c r="R453" s="52"/>
      <c r="S453" s="51"/>
      <c r="T453" s="53">
        <f>SUM(T448:T452)</f>
        <v>58568</v>
      </c>
    </row>
    <row r="454" spans="2:20" ht="15.6" x14ac:dyDescent="0.3">
      <c r="B454" s="61"/>
      <c r="C454" s="61"/>
      <c r="D454" s="63"/>
      <c r="E454" s="64"/>
      <c r="F454" s="65"/>
      <c r="G454" s="42"/>
      <c r="H454" s="66"/>
      <c r="I454" s="65"/>
      <c r="J454" s="65"/>
      <c r="K454" s="65"/>
      <c r="L454" s="65"/>
      <c r="M454" s="65"/>
      <c r="N454" s="66"/>
      <c r="O454" s="65"/>
      <c r="P454" s="67"/>
      <c r="Q454" s="67"/>
      <c r="R454" s="68"/>
      <c r="S454" s="67"/>
      <c r="T454" s="69"/>
    </row>
    <row r="455" spans="2:20" ht="15.6" x14ac:dyDescent="0.3">
      <c r="B455" s="61"/>
      <c r="C455" s="61"/>
      <c r="D455" s="63"/>
      <c r="E455" s="64"/>
      <c r="F455" s="65"/>
      <c r="G455" s="42"/>
      <c r="H455" s="66"/>
      <c r="I455" s="65"/>
      <c r="J455" s="65"/>
      <c r="K455" s="65"/>
      <c r="L455" s="65"/>
      <c r="M455" s="65"/>
      <c r="N455" s="66"/>
      <c r="O455" s="65"/>
      <c r="P455" s="67"/>
      <c r="Q455" s="67"/>
      <c r="R455" s="68"/>
      <c r="S455" s="67"/>
      <c r="T455" s="69"/>
    </row>
    <row r="456" spans="2:20" ht="18" x14ac:dyDescent="0.35">
      <c r="B456" s="27"/>
      <c r="C456" s="31">
        <v>19</v>
      </c>
      <c r="D456" s="31" t="s">
        <v>685</v>
      </c>
      <c r="E456" s="60"/>
      <c r="F456" s="60"/>
      <c r="G456" s="42"/>
      <c r="H456" s="43"/>
      <c r="I456" s="29"/>
      <c r="J456" s="29"/>
      <c r="K456" s="29"/>
      <c r="L456" s="29"/>
      <c r="M456" s="29"/>
      <c r="N456" s="44"/>
      <c r="O456" s="29"/>
      <c r="P456" s="29"/>
      <c r="Q456" s="29"/>
      <c r="R456" s="44"/>
      <c r="S456" s="29"/>
      <c r="T456" s="29"/>
    </row>
    <row r="457" spans="2:20" ht="15.6" x14ac:dyDescent="0.3">
      <c r="B457" s="61"/>
      <c r="C457" s="61"/>
      <c r="D457" s="63"/>
      <c r="E457" s="64"/>
      <c r="F457" s="65"/>
      <c r="G457" s="42"/>
      <c r="H457" s="66"/>
      <c r="I457" s="65"/>
      <c r="J457" s="65"/>
      <c r="K457" s="65"/>
      <c r="L457" s="65"/>
      <c r="M457" s="65"/>
      <c r="N457" s="66"/>
      <c r="O457" s="65"/>
      <c r="P457" s="67"/>
      <c r="Q457" s="67"/>
      <c r="R457" s="68"/>
      <c r="S457" s="67"/>
      <c r="T457" s="69"/>
    </row>
    <row r="459" spans="2:20" ht="15.6" x14ac:dyDescent="0.3">
      <c r="B459" s="32">
        <v>1</v>
      </c>
      <c r="C459" s="32" t="s">
        <v>686</v>
      </c>
      <c r="D459" s="33" t="s">
        <v>687</v>
      </c>
      <c r="E459" s="34">
        <v>45107</v>
      </c>
      <c r="F459" s="35">
        <v>3633.8</v>
      </c>
      <c r="G459" s="36">
        <v>10</v>
      </c>
      <c r="H459" s="37">
        <f t="shared" ref="H459:H472" si="80">+F459/G459</f>
        <v>363.38</v>
      </c>
      <c r="I459" s="35">
        <v>3937.0569999999998</v>
      </c>
      <c r="J459" s="35">
        <v>3980.2930000000001</v>
      </c>
      <c r="K459" s="35">
        <v>17.457000000000001</v>
      </c>
      <c r="L459" s="35">
        <v>3.8109999999999999</v>
      </c>
      <c r="M459" s="35">
        <v>-68.119</v>
      </c>
      <c r="N459" s="37">
        <f t="shared" ref="N459:N472" si="81">+M459-O459</f>
        <v>4.7390000000000043</v>
      </c>
      <c r="O459" s="35">
        <v>-72.858000000000004</v>
      </c>
      <c r="P459" s="38">
        <f>47</f>
        <v>47</v>
      </c>
      <c r="Q459" s="38">
        <v>0</v>
      </c>
      <c r="R459" s="39">
        <f t="shared" ref="R459:R472" si="82">SUM(P459:Q459)</f>
        <v>47</v>
      </c>
      <c r="S459" s="38"/>
      <c r="T459" s="40">
        <v>809</v>
      </c>
    </row>
    <row r="460" spans="2:20" ht="15.6" x14ac:dyDescent="0.3">
      <c r="B460" s="32">
        <f t="shared" ref="B460:B472" si="83">+B459+1</f>
        <v>2</v>
      </c>
      <c r="C460" s="32" t="s">
        <v>688</v>
      </c>
      <c r="D460" s="33" t="s">
        <v>689</v>
      </c>
      <c r="E460" s="34">
        <v>45291</v>
      </c>
      <c r="F460" s="35">
        <v>3238</v>
      </c>
      <c r="G460" s="36">
        <v>10</v>
      </c>
      <c r="H460" s="37">
        <f t="shared" si="80"/>
        <v>323.8</v>
      </c>
      <c r="I460" s="35">
        <v>14482.607</v>
      </c>
      <c r="J460" s="35">
        <f>10808.663+23077.478</f>
        <v>33886.141000000003</v>
      </c>
      <c r="K460" s="35">
        <v>13256.377</v>
      </c>
      <c r="L460" s="35">
        <v>302.02100000000002</v>
      </c>
      <c r="M460" s="35">
        <v>2522.34</v>
      </c>
      <c r="N460" s="37">
        <f t="shared" si="81"/>
        <v>11.221000000000004</v>
      </c>
      <c r="O460" s="35">
        <v>2511.1190000000001</v>
      </c>
      <c r="P460" s="38">
        <f>15+20+15</f>
        <v>50</v>
      </c>
      <c r="Q460" s="38">
        <v>0</v>
      </c>
      <c r="R460" s="39">
        <f t="shared" si="82"/>
        <v>50</v>
      </c>
      <c r="S460" s="38"/>
      <c r="T460" s="40">
        <v>18120</v>
      </c>
    </row>
    <row r="461" spans="2:20" ht="15.6" x14ac:dyDescent="0.3">
      <c r="B461" s="32">
        <f t="shared" si="83"/>
        <v>3</v>
      </c>
      <c r="C461" s="32" t="s">
        <v>690</v>
      </c>
      <c r="D461" s="33" t="s">
        <v>691</v>
      </c>
      <c r="E461" s="34">
        <v>45107</v>
      </c>
      <c r="F461" s="35">
        <v>12971.544</v>
      </c>
      <c r="G461" s="36">
        <v>10</v>
      </c>
      <c r="H461" s="37">
        <f t="shared" si="80"/>
        <v>1297.1543999999999</v>
      </c>
      <c r="I461" s="35">
        <v>61455.305999999997</v>
      </c>
      <c r="J461" s="35">
        <v>151822.511</v>
      </c>
      <c r="K461" s="35">
        <v>44516.209000000003</v>
      </c>
      <c r="L461" s="35">
        <v>8680.3369999999995</v>
      </c>
      <c r="M461" s="35">
        <v>32119.951000000001</v>
      </c>
      <c r="N461" s="37">
        <f t="shared" si="81"/>
        <v>1178.2440000000024</v>
      </c>
      <c r="O461" s="35">
        <v>30941.706999999999</v>
      </c>
      <c r="P461" s="38">
        <f>155+57.5+27.5+60</f>
        <v>300</v>
      </c>
      <c r="Q461" s="38">
        <v>0</v>
      </c>
      <c r="R461" s="39">
        <f t="shared" si="82"/>
        <v>300</v>
      </c>
      <c r="S461" s="38"/>
      <c r="T461" s="40">
        <v>21294</v>
      </c>
    </row>
    <row r="462" spans="2:20" ht="15.6" x14ac:dyDescent="0.3">
      <c r="B462" s="32">
        <f t="shared" si="83"/>
        <v>4</v>
      </c>
      <c r="C462" s="32" t="s">
        <v>692</v>
      </c>
      <c r="D462" s="33" t="s">
        <v>693</v>
      </c>
      <c r="E462" s="34">
        <v>45107</v>
      </c>
      <c r="F462" s="35">
        <v>8802.5322799999994</v>
      </c>
      <c r="G462" s="36">
        <v>10</v>
      </c>
      <c r="H462" s="37">
        <f t="shared" si="80"/>
        <v>880.25322799999992</v>
      </c>
      <c r="I462" s="35">
        <v>66083.726999999999</v>
      </c>
      <c r="J462" s="35">
        <v>101848.16099999999</v>
      </c>
      <c r="K462" s="35">
        <v>25435.312000000002</v>
      </c>
      <c r="L462" s="35">
        <v>6252.8980000000001</v>
      </c>
      <c r="M462" s="35">
        <v>6819.308</v>
      </c>
      <c r="N462" s="37">
        <f t="shared" si="81"/>
        <v>2860.5509999999999</v>
      </c>
      <c r="O462" s="35">
        <v>3958.7570000000001</v>
      </c>
      <c r="P462" s="38">
        <f>35+50</f>
        <v>85</v>
      </c>
      <c r="Q462" s="38">
        <v>0</v>
      </c>
      <c r="R462" s="39">
        <f t="shared" si="82"/>
        <v>85</v>
      </c>
      <c r="S462" s="38"/>
      <c r="T462" s="40">
        <v>65727</v>
      </c>
    </row>
    <row r="463" spans="2:20" ht="15.6" x14ac:dyDescent="0.3">
      <c r="B463" s="32">
        <f t="shared" si="83"/>
        <v>5</v>
      </c>
      <c r="C463" s="32" t="s">
        <v>694</v>
      </c>
      <c r="D463" s="33" t="s">
        <v>695</v>
      </c>
      <c r="E463" s="34">
        <v>45107</v>
      </c>
      <c r="F463" s="35">
        <f>27615.194245*G463</f>
        <v>96653.179857499999</v>
      </c>
      <c r="G463" s="36">
        <v>3.5</v>
      </c>
      <c r="H463" s="37">
        <f t="shared" si="80"/>
        <v>27615.194244999999</v>
      </c>
      <c r="I463" s="35">
        <v>255154.65700000001</v>
      </c>
      <c r="J463" s="35">
        <v>1024662.373</v>
      </c>
      <c r="K463" s="35">
        <v>519471.22700000001</v>
      </c>
      <c r="L463" s="35">
        <v>34569.925999999999</v>
      </c>
      <c r="M463" s="35">
        <v>-42372.339</v>
      </c>
      <c r="N463" s="37">
        <f t="shared" si="81"/>
        <v>-11475.775000000001</v>
      </c>
      <c r="O463" s="35">
        <v>-30896.563999999998</v>
      </c>
      <c r="P463" s="38">
        <v>0</v>
      </c>
      <c r="Q463" s="38">
        <v>0</v>
      </c>
      <c r="R463" s="39">
        <f t="shared" si="82"/>
        <v>0</v>
      </c>
      <c r="S463" s="38"/>
      <c r="T463" s="40">
        <v>27050</v>
      </c>
    </row>
    <row r="464" spans="2:20" ht="15.6" x14ac:dyDescent="0.3">
      <c r="B464" s="32">
        <f t="shared" si="83"/>
        <v>6</v>
      </c>
      <c r="C464" s="32" t="s">
        <v>696</v>
      </c>
      <c r="D464" s="33" t="s">
        <v>697</v>
      </c>
      <c r="E464" s="34">
        <v>45107</v>
      </c>
      <c r="F464" s="35">
        <v>1694.5861399999999</v>
      </c>
      <c r="G464" s="36">
        <v>10</v>
      </c>
      <c r="H464" s="37">
        <f t="shared" si="80"/>
        <v>169.45861399999998</v>
      </c>
      <c r="I464" s="35">
        <v>5383.0919999999996</v>
      </c>
      <c r="J464" s="35">
        <v>7134.5690000000004</v>
      </c>
      <c r="K464" s="35">
        <v>12583.137000000001</v>
      </c>
      <c r="L464" s="35">
        <v>488.97199999999998</v>
      </c>
      <c r="M464" s="35">
        <v>1575.0060000000001</v>
      </c>
      <c r="N464" s="37">
        <f t="shared" si="81"/>
        <v>1.5389999999999873</v>
      </c>
      <c r="O464" s="35">
        <v>1573.4670000000001</v>
      </c>
      <c r="P464" s="38">
        <f>15+30+20</f>
        <v>65</v>
      </c>
      <c r="Q464" s="38">
        <v>0</v>
      </c>
      <c r="R464" s="39">
        <f t="shared" si="82"/>
        <v>65</v>
      </c>
      <c r="S464" s="38"/>
      <c r="T464" s="40">
        <v>2620</v>
      </c>
    </row>
    <row r="465" spans="2:20" ht="15.6" x14ac:dyDescent="0.3">
      <c r="B465" s="32">
        <f t="shared" si="83"/>
        <v>7</v>
      </c>
      <c r="C465" s="32" t="s">
        <v>698</v>
      </c>
      <c r="D465" s="33" t="s">
        <v>699</v>
      </c>
      <c r="E465" s="34">
        <v>45107</v>
      </c>
      <c r="F465" s="35">
        <f>12.6*G465</f>
        <v>126</v>
      </c>
      <c r="G465" s="36">
        <v>10</v>
      </c>
      <c r="H465" s="37">
        <f>+F465/G465</f>
        <v>12.6</v>
      </c>
      <c r="I465" s="35">
        <v>126.91875899999999</v>
      </c>
      <c r="J465" s="35">
        <v>129.722949</v>
      </c>
      <c r="K465" s="35">
        <v>17.552496000000001</v>
      </c>
      <c r="L465" s="35">
        <v>1.23E-3</v>
      </c>
      <c r="M465" s="35">
        <v>-1.8741099999999999</v>
      </c>
      <c r="N465" s="37">
        <f t="shared" si="81"/>
        <v>-0.17411299999999996</v>
      </c>
      <c r="O465" s="35">
        <v>-1.699997</v>
      </c>
      <c r="P465" s="38">
        <v>0</v>
      </c>
      <c r="Q465" s="38">
        <v>0</v>
      </c>
      <c r="R465" s="39">
        <f>SUM(P465:Q465)</f>
        <v>0</v>
      </c>
      <c r="S465" s="38"/>
      <c r="T465" s="40">
        <v>1206</v>
      </c>
    </row>
    <row r="466" spans="2:20" ht="15.6" x14ac:dyDescent="0.3">
      <c r="B466" s="32">
        <f t="shared" si="83"/>
        <v>8</v>
      </c>
      <c r="C466" s="32" t="s">
        <v>700</v>
      </c>
      <c r="D466" s="33" t="s">
        <v>701</v>
      </c>
      <c r="E466" s="34">
        <v>45291</v>
      </c>
      <c r="F466" s="35">
        <v>3798.3873199999998</v>
      </c>
      <c r="G466" s="36">
        <v>10</v>
      </c>
      <c r="H466" s="37">
        <f t="shared" si="80"/>
        <v>379.83873199999999</v>
      </c>
      <c r="I466" s="35">
        <v>15839.464</v>
      </c>
      <c r="J466" s="35">
        <v>22039.920999999998</v>
      </c>
      <c r="K466" s="35">
        <v>19471.572</v>
      </c>
      <c r="L466" s="35">
        <v>801.471</v>
      </c>
      <c r="M466" s="35">
        <v>4577.7669999999998</v>
      </c>
      <c r="N466" s="37">
        <f t="shared" si="81"/>
        <v>0</v>
      </c>
      <c r="O466" s="35">
        <v>4577.7669999999998</v>
      </c>
      <c r="P466" s="38">
        <f>150</f>
        <v>150</v>
      </c>
      <c r="Q466" s="38">
        <v>0</v>
      </c>
      <c r="R466" s="39">
        <f t="shared" si="82"/>
        <v>150</v>
      </c>
      <c r="S466" s="38"/>
      <c r="T466" s="40">
        <v>4569</v>
      </c>
    </row>
    <row r="467" spans="2:20" ht="15.6" x14ac:dyDescent="0.3">
      <c r="B467" s="32">
        <f t="shared" si="83"/>
        <v>9</v>
      </c>
      <c r="C467" s="32" t="s">
        <v>702</v>
      </c>
      <c r="D467" s="33" t="s">
        <v>703</v>
      </c>
      <c r="E467" s="34">
        <v>45107</v>
      </c>
      <c r="F467" s="35">
        <v>3673.4693900000002</v>
      </c>
      <c r="G467" s="36">
        <v>10</v>
      </c>
      <c r="H467" s="37">
        <f t="shared" si="80"/>
        <v>367.34693900000002</v>
      </c>
      <c r="I467" s="35">
        <v>24262.057000000001</v>
      </c>
      <c r="J467" s="35">
        <v>27787.219000000001</v>
      </c>
      <c r="K467" s="35">
        <v>18220.811000000002</v>
      </c>
      <c r="L467" s="35">
        <v>868.31399999999996</v>
      </c>
      <c r="M467" s="35">
        <v>3957.163</v>
      </c>
      <c r="N467" s="37">
        <f t="shared" si="81"/>
        <v>0.59999999999990905</v>
      </c>
      <c r="O467" s="35">
        <v>3956.5630000000001</v>
      </c>
      <c r="P467" s="38">
        <v>0</v>
      </c>
      <c r="Q467" s="38">
        <v>0</v>
      </c>
      <c r="R467" s="39">
        <f t="shared" si="82"/>
        <v>0</v>
      </c>
      <c r="S467" s="38"/>
      <c r="T467" s="40">
        <v>11198</v>
      </c>
    </row>
    <row r="468" spans="2:20" ht="15.6" x14ac:dyDescent="0.3">
      <c r="B468" s="32">
        <f t="shared" si="83"/>
        <v>10</v>
      </c>
      <c r="C468" s="32" t="s">
        <v>704</v>
      </c>
      <c r="D468" s="33" t="s">
        <v>705</v>
      </c>
      <c r="E468" s="34">
        <v>45107</v>
      </c>
      <c r="F468" s="35">
        <v>3540.8850000000002</v>
      </c>
      <c r="G468" s="36">
        <v>10</v>
      </c>
      <c r="H468" s="37">
        <f t="shared" si="80"/>
        <v>354.08850000000001</v>
      </c>
      <c r="I468" s="35">
        <v>29883.013999999999</v>
      </c>
      <c r="J468" s="35">
        <v>31381.615000000002</v>
      </c>
      <c r="K468" s="35">
        <v>23068.964</v>
      </c>
      <c r="L468" s="35">
        <v>88.433999999999997</v>
      </c>
      <c r="M468" s="35">
        <v>4099.0879999999997</v>
      </c>
      <c r="N468" s="37">
        <f t="shared" si="81"/>
        <v>8.0589999999997417</v>
      </c>
      <c r="O468" s="35">
        <v>4091.029</v>
      </c>
      <c r="P468" s="38">
        <f>20+20+30</f>
        <v>70</v>
      </c>
      <c r="Q468" s="38">
        <v>0</v>
      </c>
      <c r="R468" s="39">
        <f t="shared" si="82"/>
        <v>70</v>
      </c>
      <c r="S468" s="38"/>
      <c r="T468" s="40">
        <v>5401</v>
      </c>
    </row>
    <row r="469" spans="2:20" ht="15.6" x14ac:dyDescent="0.3">
      <c r="B469" s="32">
        <f t="shared" si="83"/>
        <v>11</v>
      </c>
      <c r="C469" s="32" t="s">
        <v>706</v>
      </c>
      <c r="D469" s="33" t="s">
        <v>707</v>
      </c>
      <c r="E469" s="34">
        <v>45291</v>
      </c>
      <c r="F469" s="35">
        <v>3720.8159099999998</v>
      </c>
      <c r="G469" s="36">
        <v>10</v>
      </c>
      <c r="H469" s="37">
        <f t="shared" si="80"/>
        <v>372.081591</v>
      </c>
      <c r="I469" s="35">
        <v>24687.679</v>
      </c>
      <c r="J469" s="35">
        <v>29473.168000000001</v>
      </c>
      <c r="K469" s="35">
        <v>20836.511999999999</v>
      </c>
      <c r="L469" s="35">
        <v>31.35</v>
      </c>
      <c r="M469" s="35">
        <v>6045.2269999999999</v>
      </c>
      <c r="N469" s="37">
        <f t="shared" si="81"/>
        <v>181.92799999999988</v>
      </c>
      <c r="O469" s="35">
        <v>5863.299</v>
      </c>
      <c r="P469" s="38">
        <f>150</f>
        <v>150</v>
      </c>
      <c r="Q469" s="38">
        <v>0</v>
      </c>
      <c r="R469" s="39">
        <f t="shared" si="82"/>
        <v>150</v>
      </c>
      <c r="S469" s="38"/>
      <c r="T469" s="40">
        <v>1615</v>
      </c>
    </row>
    <row r="470" spans="2:20" ht="15.6" x14ac:dyDescent="0.3">
      <c r="B470" s="32">
        <f t="shared" si="83"/>
        <v>12</v>
      </c>
      <c r="C470" s="32" t="s">
        <v>708</v>
      </c>
      <c r="D470" s="33" t="s">
        <v>709</v>
      </c>
      <c r="E470" s="34">
        <v>45107</v>
      </c>
      <c r="F470" s="35">
        <f>19.092*G470</f>
        <v>190.92</v>
      </c>
      <c r="G470" s="36">
        <v>10</v>
      </c>
      <c r="H470" s="37">
        <f t="shared" si="80"/>
        <v>19.091999999999999</v>
      </c>
      <c r="I470" s="35">
        <v>1129.7667650000001</v>
      </c>
      <c r="J470" s="35">
        <v>3400.297388</v>
      </c>
      <c r="K470" s="35">
        <v>1067.6856909999999</v>
      </c>
      <c r="L470" s="35">
        <v>141.87278900000001</v>
      </c>
      <c r="M470" s="35">
        <v>-100.850263</v>
      </c>
      <c r="N470" s="37">
        <f t="shared" si="81"/>
        <v>2.4316830000000067</v>
      </c>
      <c r="O470" s="35">
        <v>-103.281946</v>
      </c>
      <c r="P470" s="38">
        <v>0</v>
      </c>
      <c r="Q470" s="38">
        <v>0</v>
      </c>
      <c r="R470" s="39">
        <f t="shared" si="82"/>
        <v>0</v>
      </c>
      <c r="S470" s="38"/>
      <c r="T470" s="40">
        <v>1243</v>
      </c>
    </row>
    <row r="471" spans="2:20" ht="15.6" x14ac:dyDescent="0.3">
      <c r="B471" s="32">
        <f t="shared" si="83"/>
        <v>13</v>
      </c>
      <c r="C471" s="32" t="s">
        <v>710</v>
      </c>
      <c r="D471" s="33" t="s">
        <v>711</v>
      </c>
      <c r="E471" s="34">
        <v>45291</v>
      </c>
      <c r="F471" s="35">
        <v>3864.7177900000002</v>
      </c>
      <c r="G471" s="36">
        <v>10</v>
      </c>
      <c r="H471" s="37">
        <f t="shared" si="80"/>
        <v>386.47177900000003</v>
      </c>
      <c r="I471" s="35">
        <v>12166.257</v>
      </c>
      <c r="J471" s="35">
        <v>26503.031749000002</v>
      </c>
      <c r="K471" s="35">
        <v>19043.730581</v>
      </c>
      <c r="L471" s="35">
        <v>2279.0769810000002</v>
      </c>
      <c r="M471" s="35">
        <v>336.10361499999999</v>
      </c>
      <c r="N471" s="37">
        <f t="shared" si="81"/>
        <v>0</v>
      </c>
      <c r="O471" s="35">
        <v>336.10361499999999</v>
      </c>
      <c r="P471" s="38">
        <f>12.9+15+15</f>
        <v>42.9</v>
      </c>
      <c r="Q471" s="38">
        <v>0</v>
      </c>
      <c r="R471" s="39">
        <f t="shared" si="82"/>
        <v>42.9</v>
      </c>
      <c r="S471" s="38"/>
      <c r="T471" s="40">
        <v>6760</v>
      </c>
    </row>
    <row r="472" spans="2:20" ht="15.6" x14ac:dyDescent="0.3">
      <c r="B472" s="32">
        <f t="shared" si="83"/>
        <v>14</v>
      </c>
      <c r="C472" s="32" t="s">
        <v>712</v>
      </c>
      <c r="D472" s="33" t="s">
        <v>713</v>
      </c>
      <c r="E472" s="34">
        <v>45107</v>
      </c>
      <c r="F472" s="35">
        <f>15*G472</f>
        <v>150</v>
      </c>
      <c r="G472" s="36">
        <v>10</v>
      </c>
      <c r="H472" s="37">
        <f t="shared" si="80"/>
        <v>15</v>
      </c>
      <c r="I472" s="35">
        <v>192.89358100000001</v>
      </c>
      <c r="J472" s="35">
        <v>203.880708</v>
      </c>
      <c r="K472" s="35">
        <v>6.079644</v>
      </c>
      <c r="L472" s="35">
        <v>5.4500000000000002E-4</v>
      </c>
      <c r="M472" s="35">
        <v>5.7925800000000001</v>
      </c>
      <c r="N472" s="37">
        <f t="shared" si="81"/>
        <v>-0.30435400000000001</v>
      </c>
      <c r="O472" s="35">
        <v>6.0969340000000001</v>
      </c>
      <c r="P472" s="38">
        <v>0</v>
      </c>
      <c r="Q472" s="38">
        <v>0</v>
      </c>
      <c r="R472" s="39">
        <f t="shared" si="82"/>
        <v>0</v>
      </c>
      <c r="S472" s="38"/>
      <c r="T472" s="40">
        <v>5102</v>
      </c>
    </row>
    <row r="473" spans="2:20" ht="15.6" x14ac:dyDescent="0.3">
      <c r="B473" s="61"/>
      <c r="C473" s="61"/>
      <c r="D473" s="63"/>
      <c r="E473" s="64"/>
      <c r="F473" s="65"/>
      <c r="G473" s="42"/>
      <c r="H473" s="66"/>
      <c r="I473" s="65"/>
      <c r="J473" s="65"/>
      <c r="K473" s="65"/>
      <c r="L473" s="65"/>
      <c r="M473" s="65"/>
      <c r="N473" s="66"/>
      <c r="O473" s="65"/>
      <c r="P473" s="67"/>
      <c r="Q473" s="67"/>
      <c r="R473" s="68"/>
      <c r="S473" s="67"/>
      <c r="T473" s="69"/>
    </row>
    <row r="474" spans="2:20" ht="18" x14ac:dyDescent="0.35">
      <c r="B474" s="27"/>
      <c r="C474" s="27"/>
      <c r="D474" s="55" t="s">
        <v>43</v>
      </c>
      <c r="E474" s="27"/>
      <c r="F474" s="27"/>
      <c r="G474" s="42"/>
      <c r="H474" s="43"/>
      <c r="I474" s="29"/>
      <c r="J474" s="29"/>
      <c r="K474" s="29"/>
      <c r="L474" s="29"/>
      <c r="M474" s="29"/>
      <c r="N474" s="44"/>
      <c r="O474" s="29"/>
      <c r="P474" s="29"/>
      <c r="Q474" s="29"/>
      <c r="R474" s="44"/>
      <c r="S474" s="29"/>
      <c r="T474" s="29"/>
    </row>
    <row r="475" spans="2:20" ht="15.6" x14ac:dyDescent="0.3">
      <c r="B475" s="32">
        <v>1</v>
      </c>
      <c r="C475" s="32" t="s">
        <v>714</v>
      </c>
      <c r="D475" s="33" t="s">
        <v>715</v>
      </c>
      <c r="E475" s="34">
        <v>45107</v>
      </c>
      <c r="F475" s="35">
        <v>178.33267000000001</v>
      </c>
      <c r="G475" s="36">
        <v>10</v>
      </c>
      <c r="H475" s="37">
        <f>+F475/G475</f>
        <v>17.833266999999999</v>
      </c>
      <c r="I475" s="35">
        <v>7.4079480000000002</v>
      </c>
      <c r="J475" s="35">
        <v>12.652305</v>
      </c>
      <c r="K475" s="35">
        <v>3.3482379999999998</v>
      </c>
      <c r="L475" s="35">
        <v>0</v>
      </c>
      <c r="M475" s="35">
        <v>-2.9044810000000001</v>
      </c>
      <c r="N475" s="37">
        <f>+M475-O475</f>
        <v>0</v>
      </c>
      <c r="O475" s="35">
        <v>-2.9044810000000001</v>
      </c>
      <c r="P475" s="38">
        <v>0</v>
      </c>
      <c r="Q475" s="38">
        <v>0</v>
      </c>
      <c r="R475" s="39">
        <f>SUM(P475:Q475)</f>
        <v>0</v>
      </c>
      <c r="S475" s="38"/>
      <c r="T475" s="40">
        <v>1560</v>
      </c>
    </row>
    <row r="476" spans="2:20" ht="15.6" x14ac:dyDescent="0.3">
      <c r="B476" s="61"/>
      <c r="C476" s="61"/>
      <c r="D476" s="63"/>
      <c r="E476" s="64"/>
      <c r="F476" s="65"/>
      <c r="G476" s="42"/>
      <c r="H476" s="66"/>
      <c r="I476" s="65"/>
      <c r="J476" s="65"/>
      <c r="K476" s="65"/>
      <c r="L476" s="65"/>
      <c r="M476" s="65"/>
      <c r="N476" s="66"/>
      <c r="O476" s="65"/>
      <c r="P476" s="67"/>
      <c r="Q476" s="67"/>
      <c r="R476" s="68"/>
      <c r="S476" s="67"/>
      <c r="T476" s="69"/>
    </row>
    <row r="477" spans="2:20" ht="15.6" x14ac:dyDescent="0.3">
      <c r="B477" s="46">
        <f>COUNT(B459:B476)</f>
        <v>15</v>
      </c>
      <c r="C477" s="46"/>
      <c r="D477" s="47"/>
      <c r="E477" s="47"/>
      <c r="F477" s="47">
        <f>SUM(F459:F476)</f>
        <v>146237.17035750003</v>
      </c>
      <c r="G477" s="48"/>
      <c r="H477" s="49">
        <f>SUM(H459:H476)</f>
        <v>32573.593294999999</v>
      </c>
      <c r="I477" s="47">
        <f>SUM(I459:I476)</f>
        <v>514791.90405299998</v>
      </c>
      <c r="J477" s="47">
        <f>SUM(J459:J476)</f>
        <v>1464265.5560990002</v>
      </c>
      <c r="K477" s="47">
        <f>SUM(K459:K476)</f>
        <v>717015.97464999999</v>
      </c>
      <c r="L477" s="47">
        <f>SUM(L459:L476)</f>
        <v>54508.485545000003</v>
      </c>
      <c r="M477" s="47">
        <f>SUM(M459:M476)</f>
        <v>19511.659340999995</v>
      </c>
      <c r="N477" s="49">
        <f>SUM(N459:N476)</f>
        <v>-7226.9407839999994</v>
      </c>
      <c r="O477" s="47">
        <f>SUM(O459:O476)</f>
        <v>26738.600125000001</v>
      </c>
      <c r="P477" s="51"/>
      <c r="Q477" s="51"/>
      <c r="R477" s="52"/>
      <c r="S477" s="51"/>
      <c r="T477" s="53">
        <f>SUM(T459:T476)</f>
        <v>174274</v>
      </c>
    </row>
    <row r="478" spans="2:20" ht="15.6" x14ac:dyDescent="0.3">
      <c r="B478" s="61"/>
      <c r="C478" s="61"/>
      <c r="D478" s="63"/>
      <c r="E478" s="64"/>
      <c r="F478" s="65"/>
      <c r="G478" s="42"/>
      <c r="H478" s="66"/>
      <c r="I478" s="65"/>
      <c r="J478" s="65"/>
      <c r="K478" s="65"/>
      <c r="L478" s="65"/>
      <c r="M478" s="65"/>
      <c r="N478" s="66"/>
      <c r="O478" s="65"/>
      <c r="P478" s="67"/>
      <c r="Q478" s="67"/>
      <c r="R478" s="68"/>
      <c r="S478" s="67"/>
      <c r="T478" s="69"/>
    </row>
    <row r="479" spans="2:20" ht="15.6" x14ac:dyDescent="0.3">
      <c r="B479" s="61"/>
      <c r="C479" s="61"/>
      <c r="D479" s="63"/>
      <c r="E479" s="64"/>
      <c r="F479" s="65"/>
      <c r="G479" s="42"/>
      <c r="H479" s="66"/>
      <c r="I479" s="65"/>
      <c r="J479" s="65"/>
      <c r="K479" s="65"/>
      <c r="L479" s="65"/>
      <c r="M479" s="65"/>
      <c r="N479" s="66"/>
      <c r="O479" s="65"/>
      <c r="P479" s="67"/>
      <c r="Q479" s="67"/>
      <c r="R479" s="68"/>
      <c r="S479" s="67"/>
      <c r="T479" s="69"/>
    </row>
    <row r="480" spans="2:20" ht="18" x14ac:dyDescent="0.35">
      <c r="B480" s="27"/>
      <c r="C480" s="31">
        <v>20</v>
      </c>
      <c r="D480" s="31" t="s">
        <v>716</v>
      </c>
      <c r="E480" s="60"/>
      <c r="F480" s="60"/>
      <c r="G480" s="42"/>
      <c r="H480" s="43"/>
      <c r="I480" s="29"/>
      <c r="J480" s="29"/>
      <c r="K480" s="29"/>
      <c r="L480" s="29"/>
      <c r="M480" s="29"/>
      <c r="N480" s="44"/>
      <c r="O480" s="29"/>
      <c r="P480" s="29"/>
      <c r="Q480" s="29"/>
      <c r="R480" s="44"/>
      <c r="S480" s="29"/>
      <c r="T480" s="29"/>
    </row>
    <row r="481" spans="2:20" ht="15.6" x14ac:dyDescent="0.3">
      <c r="B481" s="61"/>
      <c r="C481" s="61"/>
      <c r="D481" s="63"/>
      <c r="E481" s="64"/>
      <c r="F481" s="65"/>
      <c r="G481" s="42"/>
      <c r="H481" s="66"/>
      <c r="I481" s="65"/>
      <c r="J481" s="65"/>
      <c r="K481" s="65"/>
      <c r="L481" s="65"/>
      <c r="M481" s="65"/>
      <c r="N481" s="66"/>
      <c r="O481" s="65"/>
      <c r="P481" s="67"/>
      <c r="Q481" s="67"/>
      <c r="R481" s="68"/>
      <c r="S481" s="67"/>
      <c r="T481" s="69"/>
    </row>
    <row r="482" spans="2:20" ht="15.6" x14ac:dyDescent="0.3">
      <c r="B482" s="59">
        <v>1</v>
      </c>
      <c r="C482" s="59" t="s">
        <v>717</v>
      </c>
      <c r="D482" s="33" t="s">
        <v>718</v>
      </c>
      <c r="E482" s="34">
        <v>45107</v>
      </c>
      <c r="F482" s="35">
        <v>1244.1600000000001</v>
      </c>
      <c r="G482" s="36">
        <v>10</v>
      </c>
      <c r="H482" s="37">
        <f t="shared" ref="H482:H489" si="84">+F482/G482</f>
        <v>124.41600000000001</v>
      </c>
      <c r="I482" s="35">
        <v>45219.904999999999</v>
      </c>
      <c r="J482" s="35">
        <v>107954.265</v>
      </c>
      <c r="K482" s="35">
        <v>473938.32900000003</v>
      </c>
      <c r="L482" s="35">
        <v>2286.7139999999999</v>
      </c>
      <c r="M482" s="35">
        <v>20384.969000000001</v>
      </c>
      <c r="N482" s="37">
        <f t="shared" ref="N482:N489" si="85">+M482-O482</f>
        <v>7924.1790000000001</v>
      </c>
      <c r="O482" s="35">
        <v>12460.79</v>
      </c>
      <c r="P482" s="38">
        <f>125+150</f>
        <v>275</v>
      </c>
      <c r="Q482" s="38">
        <v>0</v>
      </c>
      <c r="R482" s="39">
        <f t="shared" ref="R482:R489" si="86">SUM(P482:Q482)</f>
        <v>275</v>
      </c>
      <c r="S482" s="38"/>
      <c r="T482" s="40">
        <v>4989</v>
      </c>
    </row>
    <row r="483" spans="2:20" ht="15.6" x14ac:dyDescent="0.3">
      <c r="B483" s="59">
        <f t="shared" ref="B483:B489" si="87">+B482+1</f>
        <v>2</v>
      </c>
      <c r="C483" s="59" t="s">
        <v>719</v>
      </c>
      <c r="D483" s="33" t="s">
        <v>720</v>
      </c>
      <c r="E483" s="34">
        <v>45107</v>
      </c>
      <c r="F483" s="35">
        <f>22.4889*G483</f>
        <v>224.88900000000001</v>
      </c>
      <c r="G483" s="36">
        <v>10</v>
      </c>
      <c r="H483" s="37">
        <f t="shared" si="84"/>
        <v>22.488900000000001</v>
      </c>
      <c r="I483" s="35">
        <v>543.601</v>
      </c>
      <c r="J483" s="35">
        <v>1564.8019999999999</v>
      </c>
      <c r="K483" s="35">
        <v>3533.6060000000002</v>
      </c>
      <c r="L483" s="35">
        <v>56.807000000000002</v>
      </c>
      <c r="M483" s="35">
        <v>-64.147999999999996</v>
      </c>
      <c r="N483" s="37">
        <f t="shared" si="85"/>
        <v>2.0030000000000001</v>
      </c>
      <c r="O483" s="35">
        <v>-66.150999999999996</v>
      </c>
      <c r="P483" s="38">
        <v>0</v>
      </c>
      <c r="Q483" s="38">
        <v>0</v>
      </c>
      <c r="R483" s="39">
        <f t="shared" si="86"/>
        <v>0</v>
      </c>
      <c r="S483" s="38"/>
      <c r="T483" s="40">
        <v>1228</v>
      </c>
    </row>
    <row r="484" spans="2:20" ht="15.6" x14ac:dyDescent="0.3">
      <c r="B484" s="59">
        <f t="shared" si="87"/>
        <v>3</v>
      </c>
      <c r="C484" s="59" t="s">
        <v>721</v>
      </c>
      <c r="D484" s="33" t="s">
        <v>722</v>
      </c>
      <c r="E484" s="34">
        <v>45107</v>
      </c>
      <c r="F484" s="35">
        <f>139.2048*G484</f>
        <v>1392.048</v>
      </c>
      <c r="G484" s="36">
        <v>10</v>
      </c>
      <c r="H484" s="37">
        <f>+F484/G484</f>
        <v>139.20480000000001</v>
      </c>
      <c r="I484" s="35">
        <v>3822.9453840000001</v>
      </c>
      <c r="J484" s="35">
        <v>7395.0178400000004</v>
      </c>
      <c r="K484" s="35">
        <v>15531.692055</v>
      </c>
      <c r="L484" s="35">
        <v>474.61685399999999</v>
      </c>
      <c r="M484" s="35">
        <v>-181.18412799999999</v>
      </c>
      <c r="N484" s="37">
        <f t="shared" si="85"/>
        <v>-87.771605999999991</v>
      </c>
      <c r="O484" s="35">
        <v>-93.412521999999996</v>
      </c>
      <c r="P484" s="38">
        <v>0</v>
      </c>
      <c r="Q484" s="38">
        <v>0</v>
      </c>
      <c r="R484" s="39">
        <f>SUM(P484:Q484)</f>
        <v>0</v>
      </c>
      <c r="S484" s="38"/>
      <c r="T484" s="40">
        <v>6068</v>
      </c>
    </row>
    <row r="485" spans="2:20" ht="15.6" x14ac:dyDescent="0.3">
      <c r="B485" s="59">
        <f t="shared" si="87"/>
        <v>4</v>
      </c>
      <c r="C485" s="59" t="s">
        <v>723</v>
      </c>
      <c r="D485" s="33" t="s">
        <v>724</v>
      </c>
      <c r="E485" s="34">
        <v>45107</v>
      </c>
      <c r="F485" s="35">
        <f>25*G485</f>
        <v>250</v>
      </c>
      <c r="G485" s="36">
        <v>10</v>
      </c>
      <c r="H485" s="37">
        <f>+F485/G485</f>
        <v>25</v>
      </c>
      <c r="I485" s="35">
        <v>90.219554000000002</v>
      </c>
      <c r="J485" s="35">
        <v>165.880796</v>
      </c>
      <c r="K485" s="35">
        <v>100.468799</v>
      </c>
      <c r="L485" s="35">
        <v>6.3376609999999998</v>
      </c>
      <c r="M485" s="35">
        <v>-18.728047</v>
      </c>
      <c r="N485" s="37">
        <f t="shared" si="85"/>
        <v>-0.54176199999999852</v>
      </c>
      <c r="O485" s="35">
        <v>-18.186285000000002</v>
      </c>
      <c r="P485" s="38">
        <v>0</v>
      </c>
      <c r="Q485" s="38">
        <v>0</v>
      </c>
      <c r="R485" s="39">
        <f>SUM(P485:Q485)</f>
        <v>0</v>
      </c>
      <c r="S485" s="38"/>
      <c r="T485" s="40">
        <v>1182</v>
      </c>
    </row>
    <row r="486" spans="2:20" ht="15.6" x14ac:dyDescent="0.3">
      <c r="B486" s="59">
        <f t="shared" si="87"/>
        <v>5</v>
      </c>
      <c r="C486" s="59" t="s">
        <v>725</v>
      </c>
      <c r="D486" s="33" t="s">
        <v>726</v>
      </c>
      <c r="E486" s="34">
        <v>45107</v>
      </c>
      <c r="F486" s="35">
        <v>4694.7330000000002</v>
      </c>
      <c r="G486" s="36">
        <v>10</v>
      </c>
      <c r="H486" s="37">
        <f t="shared" si="84"/>
        <v>469.47329999999999</v>
      </c>
      <c r="I486" s="35">
        <v>216559.90700000001</v>
      </c>
      <c r="J486" s="35">
        <v>983396.11100000003</v>
      </c>
      <c r="K486" s="35">
        <v>3391111.9780000001</v>
      </c>
      <c r="L486" s="35">
        <v>40334.642999999996</v>
      </c>
      <c r="M486" s="35">
        <v>24366.097000000002</v>
      </c>
      <c r="N486" s="37">
        <f t="shared" si="85"/>
        <v>18703.952000000001</v>
      </c>
      <c r="O486" s="35">
        <v>5662.1450000000004</v>
      </c>
      <c r="P486" s="38">
        <v>75</v>
      </c>
      <c r="Q486" s="38">
        <v>0</v>
      </c>
      <c r="R486" s="39">
        <f t="shared" si="86"/>
        <v>75</v>
      </c>
      <c r="S486" s="38"/>
      <c r="T486" s="40">
        <v>24687</v>
      </c>
    </row>
    <row r="487" spans="2:20" ht="15.6" x14ac:dyDescent="0.3">
      <c r="B487" s="59">
        <f t="shared" si="87"/>
        <v>6</v>
      </c>
      <c r="C487" s="59" t="s">
        <v>727</v>
      </c>
      <c r="D487" s="33" t="s">
        <v>728</v>
      </c>
      <c r="E487" s="34">
        <v>45291</v>
      </c>
      <c r="F487" s="35">
        <v>2140.2460000000001</v>
      </c>
      <c r="G487" s="36">
        <v>10</v>
      </c>
      <c r="H487" s="37">
        <f t="shared" si="84"/>
        <v>214.02460000000002</v>
      </c>
      <c r="I487" s="35">
        <v>19736.990000000002</v>
      </c>
      <c r="J487" s="35">
        <v>106348.666</v>
      </c>
      <c r="K487" s="35">
        <v>431650.228</v>
      </c>
      <c r="L487" s="35">
        <v>2499.1469999999999</v>
      </c>
      <c r="M487" s="35">
        <v>7246.5469999999996</v>
      </c>
      <c r="N487" s="37">
        <f t="shared" si="85"/>
        <v>1395.1539999999995</v>
      </c>
      <c r="O487" s="35">
        <v>5851.393</v>
      </c>
      <c r="P487" s="38">
        <f>50</f>
        <v>50</v>
      </c>
      <c r="Q487" s="38">
        <v>0</v>
      </c>
      <c r="R487" s="39">
        <f t="shared" si="86"/>
        <v>50</v>
      </c>
      <c r="S487" s="38"/>
      <c r="T487" s="40">
        <v>9737</v>
      </c>
    </row>
    <row r="488" spans="2:20" ht="15.6" x14ac:dyDescent="0.3">
      <c r="B488" s="59">
        <f t="shared" si="87"/>
        <v>7</v>
      </c>
      <c r="C488" s="32" t="s">
        <v>729</v>
      </c>
      <c r="D488" s="33" t="s">
        <v>730</v>
      </c>
      <c r="E488" s="34">
        <v>45107</v>
      </c>
      <c r="F488" s="35"/>
      <c r="G488" s="36">
        <v>10</v>
      </c>
      <c r="H488" s="37">
        <f t="shared" si="84"/>
        <v>0</v>
      </c>
      <c r="I488" s="35"/>
      <c r="J488" s="35"/>
      <c r="K488" s="35"/>
      <c r="L488" s="35"/>
      <c r="M488" s="35"/>
      <c r="N488" s="37">
        <f t="shared" si="85"/>
        <v>0</v>
      </c>
      <c r="O488" s="35"/>
      <c r="P488" s="38"/>
      <c r="Q488" s="38"/>
      <c r="R488" s="39">
        <f t="shared" si="86"/>
        <v>0</v>
      </c>
      <c r="S488" s="38"/>
      <c r="T488" s="40"/>
    </row>
    <row r="489" spans="2:20" ht="15.6" x14ac:dyDescent="0.3">
      <c r="B489" s="59">
        <f t="shared" si="87"/>
        <v>8</v>
      </c>
      <c r="C489" s="59" t="s">
        <v>731</v>
      </c>
      <c r="D489" s="33" t="s">
        <v>732</v>
      </c>
      <c r="E489" s="34">
        <v>45107</v>
      </c>
      <c r="F489" s="35"/>
      <c r="G489" s="36">
        <v>10</v>
      </c>
      <c r="H489" s="37">
        <f t="shared" si="84"/>
        <v>0</v>
      </c>
      <c r="I489" s="35"/>
      <c r="J489" s="35"/>
      <c r="K489" s="35"/>
      <c r="L489" s="35"/>
      <c r="M489" s="35"/>
      <c r="N489" s="37">
        <f t="shared" si="85"/>
        <v>0</v>
      </c>
      <c r="O489" s="35"/>
      <c r="P489" s="38"/>
      <c r="Q489" s="38"/>
      <c r="R489" s="39">
        <f t="shared" si="86"/>
        <v>0</v>
      </c>
      <c r="S489" s="38"/>
      <c r="T489" s="40"/>
    </row>
    <row r="490" spans="2:20" ht="15.6" x14ac:dyDescent="0.3">
      <c r="B490" s="87"/>
      <c r="C490" s="87"/>
      <c r="D490" s="27"/>
      <c r="E490" s="88"/>
      <c r="F490" s="65"/>
      <c r="G490" s="42"/>
      <c r="H490" s="66"/>
      <c r="I490" s="65"/>
      <c r="J490" s="65"/>
      <c r="K490" s="65"/>
      <c r="L490" s="65"/>
      <c r="M490" s="65"/>
      <c r="N490" s="66"/>
      <c r="O490" s="65"/>
      <c r="P490" s="67"/>
      <c r="Q490" s="67"/>
      <c r="R490" s="68"/>
      <c r="S490" s="67"/>
      <c r="T490" s="69"/>
    </row>
    <row r="491" spans="2:20" ht="18" x14ac:dyDescent="0.35">
      <c r="B491" s="27"/>
      <c r="C491" s="27"/>
      <c r="D491" s="55" t="s">
        <v>43</v>
      </c>
      <c r="E491" s="27"/>
      <c r="F491" s="27"/>
      <c r="G491" s="42"/>
      <c r="H491" s="43"/>
      <c r="I491" s="29"/>
      <c r="J491" s="29"/>
      <c r="K491" s="29"/>
      <c r="L491" s="29"/>
      <c r="M491" s="29"/>
      <c r="N491" s="44"/>
      <c r="O491" s="29"/>
      <c r="P491" s="29"/>
      <c r="Q491" s="29"/>
      <c r="R491" s="44"/>
      <c r="S491" s="29"/>
      <c r="T491" s="29"/>
    </row>
    <row r="492" spans="2:20" s="84" customFormat="1" ht="15.6" x14ac:dyDescent="0.3">
      <c r="B492" s="89">
        <v>1</v>
      </c>
      <c r="C492" s="89" t="s">
        <v>733</v>
      </c>
      <c r="D492" s="45" t="s">
        <v>734</v>
      </c>
      <c r="E492" s="77">
        <v>45291</v>
      </c>
      <c r="F492" s="78"/>
      <c r="G492" s="79">
        <v>10</v>
      </c>
      <c r="H492" s="80">
        <f>+F492/G492</f>
        <v>0</v>
      </c>
      <c r="I492" s="78"/>
      <c r="J492" s="78"/>
      <c r="K492" s="78"/>
      <c r="L492" s="78"/>
      <c r="M492" s="78"/>
      <c r="N492" s="80">
        <f>+M492-O492</f>
        <v>0</v>
      </c>
      <c r="O492" s="78"/>
      <c r="P492" s="81"/>
      <c r="Q492" s="81"/>
      <c r="R492" s="82">
        <f>SUM(P492:Q492)</f>
        <v>0</v>
      </c>
      <c r="S492" s="81"/>
      <c r="T492" s="83"/>
    </row>
    <row r="493" spans="2:20" ht="15.6" x14ac:dyDescent="0.3">
      <c r="B493" s="27"/>
      <c r="C493" s="27"/>
      <c r="D493" s="27"/>
      <c r="E493" s="27"/>
      <c r="F493" s="27"/>
      <c r="G493" s="42"/>
      <c r="H493" s="43"/>
      <c r="I493" s="29"/>
      <c r="J493" s="29"/>
      <c r="K493" s="29"/>
      <c r="L493" s="29"/>
      <c r="M493" s="29"/>
      <c r="N493" s="44"/>
      <c r="O493" s="29"/>
      <c r="P493" s="29"/>
      <c r="Q493" s="29"/>
      <c r="R493" s="44"/>
      <c r="S493" s="29"/>
      <c r="T493" s="29"/>
    </row>
    <row r="494" spans="2:20" ht="15.6" x14ac:dyDescent="0.3">
      <c r="B494" s="46">
        <f>COUNT(B482:B493)</f>
        <v>9</v>
      </c>
      <c r="C494" s="46"/>
      <c r="D494" s="47"/>
      <c r="E494" s="47"/>
      <c r="F494" s="47">
        <f>SUM(F482:F493)</f>
        <v>9946.0760000000009</v>
      </c>
      <c r="G494" s="48"/>
      <c r="H494" s="49">
        <f t="shared" ref="H494:O494" si="88">SUM(H482:H493)</f>
        <v>994.60760000000005</v>
      </c>
      <c r="I494" s="47">
        <f t="shared" si="88"/>
        <v>285973.56793800002</v>
      </c>
      <c r="J494" s="47">
        <f t="shared" si="88"/>
        <v>1206824.742636</v>
      </c>
      <c r="K494" s="47">
        <f t="shared" si="88"/>
        <v>4315866.3018540004</v>
      </c>
      <c r="L494" s="47">
        <f t="shared" si="88"/>
        <v>45658.265514999992</v>
      </c>
      <c r="M494" s="47">
        <f t="shared" si="88"/>
        <v>51733.552824999999</v>
      </c>
      <c r="N494" s="50">
        <f t="shared" si="88"/>
        <v>27936.974632000001</v>
      </c>
      <c r="O494" s="47">
        <f t="shared" si="88"/>
        <v>23796.578193000001</v>
      </c>
      <c r="P494" s="51"/>
      <c r="Q494" s="51"/>
      <c r="R494" s="52"/>
      <c r="S494" s="51"/>
      <c r="T494" s="53">
        <f>SUM(T482:T493)</f>
        <v>47891</v>
      </c>
    </row>
    <row r="495" spans="2:20" ht="15.6" x14ac:dyDescent="0.3">
      <c r="B495" s="27"/>
      <c r="C495" s="27"/>
      <c r="D495" s="27"/>
      <c r="E495" s="27"/>
      <c r="F495" s="27"/>
      <c r="G495" s="42"/>
      <c r="H495" s="43"/>
      <c r="I495" s="29"/>
      <c r="J495" s="29"/>
      <c r="K495" s="29"/>
      <c r="L495" s="29"/>
      <c r="M495" s="29"/>
      <c r="N495" s="44"/>
      <c r="O495" s="29"/>
      <c r="P495" s="29"/>
      <c r="Q495" s="29"/>
      <c r="R495" s="44"/>
      <c r="S495" s="29"/>
      <c r="T495" s="29"/>
    </row>
    <row r="496" spans="2:20" ht="15.6" x14ac:dyDescent="0.3">
      <c r="B496" s="27"/>
      <c r="C496" s="27"/>
      <c r="D496" s="27"/>
      <c r="E496" s="27"/>
      <c r="F496" s="27"/>
      <c r="G496" s="42"/>
      <c r="H496" s="43"/>
      <c r="I496" s="29"/>
      <c r="J496" s="29"/>
      <c r="K496" s="29"/>
      <c r="L496" s="29"/>
      <c r="M496" s="29"/>
      <c r="N496" s="44"/>
      <c r="O496" s="29"/>
      <c r="P496" s="29"/>
      <c r="Q496" s="29"/>
      <c r="R496" s="44"/>
      <c r="S496" s="29"/>
      <c r="T496" s="29"/>
    </row>
    <row r="497" spans="2:20" ht="18" x14ac:dyDescent="0.35">
      <c r="B497" s="27"/>
      <c r="C497" s="31">
        <v>21</v>
      </c>
      <c r="D497" s="31" t="s">
        <v>735</v>
      </c>
      <c r="E497" s="60"/>
      <c r="F497" s="60"/>
      <c r="G497" s="42"/>
      <c r="H497" s="43"/>
      <c r="I497" s="29"/>
      <c r="J497" s="29"/>
      <c r="K497" s="29"/>
      <c r="L497" s="29"/>
      <c r="M497" s="29"/>
      <c r="N497" s="44"/>
      <c r="O497" s="29"/>
      <c r="P497" s="29"/>
      <c r="Q497" s="29"/>
      <c r="R497" s="44"/>
      <c r="S497" s="29"/>
      <c r="T497" s="29"/>
    </row>
    <row r="498" spans="2:20" ht="15.6" x14ac:dyDescent="0.3">
      <c r="B498" s="27"/>
      <c r="C498" s="27"/>
      <c r="D498" s="27"/>
      <c r="E498" s="27"/>
      <c r="F498" s="27"/>
      <c r="G498" s="42"/>
      <c r="H498" s="43"/>
      <c r="I498" s="29"/>
      <c r="J498" s="29"/>
      <c r="K498" s="29"/>
      <c r="L498" s="29"/>
      <c r="M498" s="29"/>
      <c r="N498" s="44"/>
      <c r="O498" s="29"/>
      <c r="P498" s="29"/>
      <c r="Q498" s="29"/>
      <c r="R498" s="44"/>
      <c r="S498" s="29"/>
      <c r="T498" s="29"/>
    </row>
    <row r="499" spans="2:20" ht="15.6" x14ac:dyDescent="0.3">
      <c r="B499" s="59">
        <v>1</v>
      </c>
      <c r="C499" s="59" t="s">
        <v>736</v>
      </c>
      <c r="D499" s="33" t="s">
        <v>737</v>
      </c>
      <c r="E499" s="34">
        <v>45107</v>
      </c>
      <c r="F499" s="35">
        <v>1334.0250000000001</v>
      </c>
      <c r="G499" s="36">
        <v>10</v>
      </c>
      <c r="H499" s="37">
        <f>+F499/G499</f>
        <v>133.4025</v>
      </c>
      <c r="I499" s="35">
        <v>168426.34</v>
      </c>
      <c r="J499" s="35">
        <v>254596.79699999999</v>
      </c>
      <c r="K499" s="35">
        <v>145769.90700000001</v>
      </c>
      <c r="L499" s="35">
        <v>1774.826</v>
      </c>
      <c r="M499" s="35">
        <v>85847.178</v>
      </c>
      <c r="N499" s="37">
        <f>+M499-O499</f>
        <v>29718.466999999997</v>
      </c>
      <c r="O499" s="35">
        <v>56128.711000000003</v>
      </c>
      <c r="P499" s="38">
        <f>890+580</f>
        <v>1470</v>
      </c>
      <c r="Q499" s="38">
        <v>0</v>
      </c>
      <c r="R499" s="39">
        <f>SUM(P499:Q499)</f>
        <v>1470</v>
      </c>
      <c r="S499" s="38"/>
      <c r="T499" s="40">
        <v>4016</v>
      </c>
    </row>
    <row r="500" spans="2:20" ht="15.6" x14ac:dyDescent="0.3">
      <c r="B500" s="59">
        <f>+B499+1</f>
        <v>2</v>
      </c>
      <c r="C500" s="59" t="s">
        <v>738</v>
      </c>
      <c r="D500" s="33" t="s">
        <v>739</v>
      </c>
      <c r="E500" s="34">
        <v>45107</v>
      </c>
      <c r="F500" s="35">
        <v>43009.284</v>
      </c>
      <c r="G500" s="36">
        <v>10</v>
      </c>
      <c r="H500" s="37">
        <f>+F500/G500</f>
        <v>4300.9283999999998</v>
      </c>
      <c r="I500" s="35">
        <v>1082897.8770000001</v>
      </c>
      <c r="J500" s="35">
        <v>1424065.294</v>
      </c>
      <c r="K500" s="35">
        <v>413594.00900000002</v>
      </c>
      <c r="L500" s="35">
        <v>4715.1549999999997</v>
      </c>
      <c r="M500" s="35">
        <v>383772.76299999998</v>
      </c>
      <c r="N500" s="37">
        <f>+M500-O500</f>
        <v>159154.96599999999</v>
      </c>
      <c r="O500" s="35">
        <v>224617.79699999999</v>
      </c>
      <c r="P500" s="38">
        <f>17.5+22.5+18+27.5</f>
        <v>85.5</v>
      </c>
      <c r="Q500" s="38">
        <v>0</v>
      </c>
      <c r="R500" s="39">
        <f>SUM(P500:Q500)</f>
        <v>85.5</v>
      </c>
      <c r="S500" s="38"/>
      <c r="T500" s="40">
        <v>33346</v>
      </c>
    </row>
    <row r="501" spans="2:20" ht="15.6" x14ac:dyDescent="0.3">
      <c r="B501" s="59">
        <f>+B500+1</f>
        <v>3</v>
      </c>
      <c r="C501" s="59" t="s">
        <v>740</v>
      </c>
      <c r="D501" s="33" t="s">
        <v>741</v>
      </c>
      <c r="E501" s="34">
        <v>45107</v>
      </c>
      <c r="F501" s="35">
        <v>2838.5510399999998</v>
      </c>
      <c r="G501" s="36">
        <v>10</v>
      </c>
      <c r="H501" s="37">
        <f>+F501/G501</f>
        <v>283.85510399999998</v>
      </c>
      <c r="I501" s="35">
        <v>67687.209000000003</v>
      </c>
      <c r="J501" s="35">
        <v>159038.63800000001</v>
      </c>
      <c r="K501" s="35">
        <v>60952.281999999999</v>
      </c>
      <c r="L501" s="35">
        <v>9619.4320000000007</v>
      </c>
      <c r="M501" s="35">
        <v>49658.659</v>
      </c>
      <c r="N501" s="37">
        <f>+M501-O501</f>
        <v>13206.076999999997</v>
      </c>
      <c r="O501" s="35">
        <v>36452.582000000002</v>
      </c>
      <c r="P501" s="38">
        <f>200+600</f>
        <v>800</v>
      </c>
      <c r="Q501" s="38">
        <v>0</v>
      </c>
      <c r="R501" s="39">
        <f>SUM(P501:Q501)</f>
        <v>800</v>
      </c>
      <c r="S501" s="38"/>
      <c r="T501" s="40">
        <v>8372</v>
      </c>
    </row>
    <row r="502" spans="2:20" ht="15.6" x14ac:dyDescent="0.3">
      <c r="B502" s="59">
        <f>+B501+1</f>
        <v>4</v>
      </c>
      <c r="C502" s="59" t="s">
        <v>742</v>
      </c>
      <c r="D502" s="33" t="s">
        <v>743</v>
      </c>
      <c r="E502" s="34">
        <v>45107</v>
      </c>
      <c r="F502" s="35">
        <v>27209.675480000002</v>
      </c>
      <c r="G502" s="36">
        <v>10</v>
      </c>
      <c r="H502" s="37">
        <f>+F502/G502</f>
        <v>2720.9675480000001</v>
      </c>
      <c r="I502" s="35">
        <v>540747.36</v>
      </c>
      <c r="J502" s="35">
        <v>790111.16599999997</v>
      </c>
      <c r="K502" s="35">
        <v>286480.25199999998</v>
      </c>
      <c r="L502" s="35">
        <v>1484.867</v>
      </c>
      <c r="M502" s="35">
        <v>165601.03400000001</v>
      </c>
      <c r="N502" s="37">
        <f>+M502-O502</f>
        <v>67663.928000000014</v>
      </c>
      <c r="O502" s="35">
        <v>97937.106</v>
      </c>
      <c r="P502" s="38">
        <f>10+15</f>
        <v>25</v>
      </c>
      <c r="Q502" s="38">
        <v>0</v>
      </c>
      <c r="R502" s="39">
        <f>SUM(P502:Q502)</f>
        <v>25</v>
      </c>
      <c r="S502" s="38"/>
      <c r="T502" s="40">
        <v>32301</v>
      </c>
    </row>
    <row r="503" spans="2:20" ht="15.6" x14ac:dyDescent="0.3">
      <c r="B503" s="27"/>
      <c r="C503" s="27"/>
      <c r="D503" s="27"/>
      <c r="E503" s="27"/>
      <c r="F503" s="27"/>
      <c r="G503" s="42"/>
      <c r="H503" s="43"/>
      <c r="I503" s="29"/>
      <c r="J503" s="29"/>
      <c r="K503" s="29"/>
      <c r="L503" s="29"/>
      <c r="M503" s="29"/>
      <c r="N503" s="44"/>
      <c r="O503" s="29"/>
      <c r="P503" s="29"/>
      <c r="Q503" s="29"/>
      <c r="R503" s="44"/>
      <c r="S503" s="29"/>
      <c r="T503" s="29"/>
    </row>
    <row r="504" spans="2:20" ht="15.6" x14ac:dyDescent="0.3">
      <c r="B504" s="46">
        <f>COUNT(B499:B503)</f>
        <v>4</v>
      </c>
      <c r="C504" s="46"/>
      <c r="D504" s="47"/>
      <c r="E504" s="47"/>
      <c r="F504" s="47">
        <f>SUM(F499:F503)</f>
        <v>74391.535520000005</v>
      </c>
      <c r="G504" s="48"/>
      <c r="H504" s="49">
        <f t="shared" ref="H504:O504" si="89">SUM(H499:H503)</f>
        <v>7439.1535519999998</v>
      </c>
      <c r="I504" s="47">
        <f t="shared" si="89"/>
        <v>1859758.7860000003</v>
      </c>
      <c r="J504" s="47">
        <f t="shared" si="89"/>
        <v>2627811.895</v>
      </c>
      <c r="K504" s="47">
        <f t="shared" si="89"/>
        <v>906796.45</v>
      </c>
      <c r="L504" s="47">
        <f t="shared" si="89"/>
        <v>17594.28</v>
      </c>
      <c r="M504" s="47">
        <f t="shared" si="89"/>
        <v>684879.63399999996</v>
      </c>
      <c r="N504" s="50">
        <f t="shared" si="89"/>
        <v>269743.43799999997</v>
      </c>
      <c r="O504" s="47">
        <f t="shared" si="89"/>
        <v>415136.196</v>
      </c>
      <c r="P504" s="51"/>
      <c r="Q504" s="51"/>
      <c r="R504" s="52"/>
      <c r="S504" s="51"/>
      <c r="T504" s="53">
        <f>SUM(T499:T503)</f>
        <v>78035</v>
      </c>
    </row>
    <row r="505" spans="2:20" ht="15.6" x14ac:dyDescent="0.3">
      <c r="B505" s="27"/>
      <c r="C505" s="27"/>
      <c r="D505" s="27"/>
      <c r="E505" s="27"/>
      <c r="F505" s="27"/>
      <c r="G505" s="42"/>
      <c r="H505" s="43"/>
      <c r="I505" s="29"/>
      <c r="J505" s="29"/>
      <c r="K505" s="29"/>
      <c r="L505" s="29"/>
      <c r="M505" s="29"/>
      <c r="N505" s="44"/>
      <c r="O505" s="29"/>
      <c r="P505" s="29"/>
      <c r="Q505" s="29"/>
      <c r="R505" s="44"/>
      <c r="S505" s="29"/>
      <c r="T505" s="29"/>
    </row>
    <row r="506" spans="2:20" ht="15.6" x14ac:dyDescent="0.3">
      <c r="B506" s="27"/>
      <c r="C506" s="27"/>
      <c r="D506" s="27"/>
      <c r="E506" s="27"/>
      <c r="F506" s="27"/>
      <c r="G506" s="42"/>
      <c r="H506" s="43"/>
      <c r="I506" s="29"/>
      <c r="J506" s="29"/>
      <c r="K506" s="29"/>
      <c r="L506" s="29"/>
      <c r="M506" s="29"/>
      <c r="N506" s="44"/>
      <c r="O506" s="29"/>
      <c r="P506" s="29"/>
      <c r="Q506" s="29"/>
      <c r="R506" s="44"/>
      <c r="S506" s="29"/>
      <c r="T506" s="29"/>
    </row>
    <row r="507" spans="2:20" ht="18" x14ac:dyDescent="0.35">
      <c r="B507" s="27"/>
      <c r="C507" s="31">
        <v>22</v>
      </c>
      <c r="D507" s="31" t="s">
        <v>744</v>
      </c>
      <c r="E507" s="60"/>
      <c r="F507" s="60"/>
      <c r="G507" s="42"/>
      <c r="H507" s="43"/>
      <c r="I507" s="29"/>
      <c r="J507" s="29"/>
      <c r="K507" s="29"/>
      <c r="L507" s="29"/>
      <c r="M507" s="29"/>
      <c r="N507" s="44"/>
      <c r="O507" s="29"/>
      <c r="P507" s="29"/>
      <c r="Q507" s="29"/>
      <c r="R507" s="44"/>
      <c r="S507" s="29"/>
      <c r="T507" s="29"/>
    </row>
    <row r="508" spans="2:20" ht="15.6" x14ac:dyDescent="0.3">
      <c r="B508" s="27"/>
      <c r="C508" s="27"/>
      <c r="D508" s="27"/>
      <c r="E508" s="27"/>
      <c r="F508" s="27"/>
      <c r="G508" s="42"/>
      <c r="H508" s="43"/>
      <c r="I508" s="29"/>
      <c r="J508" s="29"/>
      <c r="K508" s="29"/>
      <c r="L508" s="29"/>
      <c r="M508" s="29"/>
      <c r="N508" s="44"/>
      <c r="O508" s="29"/>
      <c r="P508" s="29"/>
      <c r="Q508" s="29"/>
      <c r="R508" s="44"/>
      <c r="S508" s="29"/>
      <c r="T508" s="29"/>
    </row>
    <row r="509" spans="2:20" ht="15.6" x14ac:dyDescent="0.3">
      <c r="B509" s="32">
        <v>1</v>
      </c>
      <c r="C509" s="32" t="s">
        <v>745</v>
      </c>
      <c r="D509" s="33" t="s">
        <v>746</v>
      </c>
      <c r="E509" s="34">
        <v>45107</v>
      </c>
      <c r="F509" s="35">
        <v>6048.7910000000002</v>
      </c>
      <c r="G509" s="36">
        <v>10</v>
      </c>
      <c r="H509" s="37">
        <f t="shared" ref="H509:H521" si="90">+F509/G509</f>
        <v>604.87909999999999</v>
      </c>
      <c r="I509" s="35">
        <v>16570.45</v>
      </c>
      <c r="J509" s="35">
        <v>41979.985000000001</v>
      </c>
      <c r="K509" s="35">
        <v>20582.205000000002</v>
      </c>
      <c r="L509" s="35">
        <v>3208.7350000000001</v>
      </c>
      <c r="M509" s="35">
        <v>1168.3030000000001</v>
      </c>
      <c r="N509" s="37">
        <f t="shared" ref="N509:N521" si="91">+M509-O509</f>
        <v>263.40700000000015</v>
      </c>
      <c r="O509" s="35">
        <v>904.89599999999996</v>
      </c>
      <c r="P509" s="38">
        <v>0</v>
      </c>
      <c r="Q509" s="38">
        <v>0</v>
      </c>
      <c r="R509" s="39">
        <f t="shared" ref="R509:R521" si="92">SUM(P509:Q509)</f>
        <v>0</v>
      </c>
      <c r="S509" s="38"/>
      <c r="T509" s="40">
        <v>6063</v>
      </c>
    </row>
    <row r="510" spans="2:20" ht="15.6" x14ac:dyDescent="0.3">
      <c r="B510" s="32">
        <f>+B509+1</f>
        <v>2</v>
      </c>
      <c r="C510" s="32" t="s">
        <v>747</v>
      </c>
      <c r="D510" s="33" t="s">
        <v>748</v>
      </c>
      <c r="E510" s="34">
        <v>45107</v>
      </c>
      <c r="F510" s="35">
        <f>924.800809*G510</f>
        <v>9248.0080899999994</v>
      </c>
      <c r="G510" s="36">
        <v>10</v>
      </c>
      <c r="H510" s="37">
        <f t="shared" si="90"/>
        <v>924.80080899999996</v>
      </c>
      <c r="I510" s="35">
        <v>15691.715</v>
      </c>
      <c r="J510" s="35">
        <v>38046.163999999997</v>
      </c>
      <c r="K510" s="35">
        <v>31102.382000000001</v>
      </c>
      <c r="L510" s="35">
        <v>3637.5160000000001</v>
      </c>
      <c r="M510" s="35">
        <v>-4841.3040000000001</v>
      </c>
      <c r="N510" s="37">
        <f t="shared" si="91"/>
        <v>-1625.6890000000003</v>
      </c>
      <c r="O510" s="35">
        <v>-3215.6149999999998</v>
      </c>
      <c r="P510" s="38">
        <v>0</v>
      </c>
      <c r="Q510" s="38">
        <v>0</v>
      </c>
      <c r="R510" s="39">
        <f t="shared" si="92"/>
        <v>0</v>
      </c>
      <c r="S510" s="38"/>
      <c r="T510" s="40">
        <v>12647</v>
      </c>
    </row>
    <row r="511" spans="2:20" ht="15.6" x14ac:dyDescent="0.3">
      <c r="B511" s="32">
        <f>+B510+1</f>
        <v>3</v>
      </c>
      <c r="C511" s="32" t="s">
        <v>749</v>
      </c>
      <c r="D511" s="33" t="s">
        <v>750</v>
      </c>
      <c r="E511" s="34">
        <v>45107</v>
      </c>
      <c r="F511" s="35">
        <v>2970.11427</v>
      </c>
      <c r="G511" s="36">
        <v>10</v>
      </c>
      <c r="H511" s="37">
        <f t="shared" si="90"/>
        <v>297.01142700000003</v>
      </c>
      <c r="I511" s="35">
        <v>14562.241</v>
      </c>
      <c r="J511" s="35">
        <v>40171.730000000003</v>
      </c>
      <c r="K511" s="35">
        <v>45492.724000000002</v>
      </c>
      <c r="L511" s="35">
        <v>4032.761</v>
      </c>
      <c r="M511" s="35">
        <v>-25.876000000000001</v>
      </c>
      <c r="N511" s="37">
        <f t="shared" si="91"/>
        <v>652.56700000000001</v>
      </c>
      <c r="O511" s="35">
        <v>-678.44299999999998</v>
      </c>
      <c r="P511" s="38">
        <v>0</v>
      </c>
      <c r="Q511" s="38">
        <v>0</v>
      </c>
      <c r="R511" s="39">
        <f t="shared" si="92"/>
        <v>0</v>
      </c>
      <c r="S511" s="38"/>
      <c r="T511" s="40">
        <v>10306</v>
      </c>
    </row>
    <row r="512" spans="2:20" ht="15.6" x14ac:dyDescent="0.3">
      <c r="B512" s="32">
        <f t="shared" ref="B512:B521" si="93">+B511+1</f>
        <v>4</v>
      </c>
      <c r="C512" s="32" t="s">
        <v>751</v>
      </c>
      <c r="D512" s="33" t="s">
        <v>752</v>
      </c>
      <c r="E512" s="34">
        <v>45107</v>
      </c>
      <c r="F512" s="35">
        <v>114.72529</v>
      </c>
      <c r="G512" s="36">
        <v>10</v>
      </c>
      <c r="H512" s="37">
        <f t="shared" si="90"/>
        <v>11.472529</v>
      </c>
      <c r="I512" s="35">
        <v>199.947237</v>
      </c>
      <c r="J512" s="35">
        <v>929.52149199999997</v>
      </c>
      <c r="K512" s="35">
        <v>2164.9079849999998</v>
      </c>
      <c r="L512" s="35">
        <v>79.133369000000002</v>
      </c>
      <c r="M512" s="35">
        <v>27.485551000000001</v>
      </c>
      <c r="N512" s="37">
        <f t="shared" si="91"/>
        <v>52.210845000000006</v>
      </c>
      <c r="O512" s="35">
        <v>-24.725294000000002</v>
      </c>
      <c r="P512" s="38">
        <v>0</v>
      </c>
      <c r="Q512" s="38">
        <v>0</v>
      </c>
      <c r="R512" s="39">
        <f t="shared" si="92"/>
        <v>0</v>
      </c>
      <c r="S512" s="38"/>
      <c r="T512" s="40">
        <v>1212</v>
      </c>
    </row>
    <row r="513" spans="2:20" ht="15.6" x14ac:dyDescent="0.3">
      <c r="B513" s="32">
        <f t="shared" si="93"/>
        <v>5</v>
      </c>
      <c r="C513" s="59" t="s">
        <v>753</v>
      </c>
      <c r="D513" s="33" t="s">
        <v>754</v>
      </c>
      <c r="E513" s="34">
        <v>45107</v>
      </c>
      <c r="F513" s="35">
        <v>1249.6251</v>
      </c>
      <c r="G513" s="36">
        <v>10</v>
      </c>
      <c r="H513" s="37">
        <f t="shared" si="90"/>
        <v>124.96250999999999</v>
      </c>
      <c r="I513" s="35">
        <v>3177.5909889999998</v>
      </c>
      <c r="J513" s="35">
        <v>5854.0738840000004</v>
      </c>
      <c r="K513" s="35">
        <v>3752.1103579999999</v>
      </c>
      <c r="L513" s="35">
        <v>3.2676780000000001</v>
      </c>
      <c r="M513" s="35">
        <v>-85.390930999999995</v>
      </c>
      <c r="N513" s="37">
        <f t="shared" si="91"/>
        <v>118.7345</v>
      </c>
      <c r="O513" s="35">
        <v>-204.12543099999999</v>
      </c>
      <c r="P513" s="38">
        <v>0</v>
      </c>
      <c r="Q513" s="38">
        <v>0</v>
      </c>
      <c r="R513" s="39">
        <f t="shared" si="92"/>
        <v>0</v>
      </c>
      <c r="S513" s="38"/>
      <c r="T513" s="40">
        <v>1181</v>
      </c>
    </row>
    <row r="514" spans="2:20" ht="15.6" x14ac:dyDescent="0.3">
      <c r="B514" s="32">
        <f t="shared" si="93"/>
        <v>6</v>
      </c>
      <c r="C514" s="32" t="s">
        <v>755</v>
      </c>
      <c r="D514" s="33" t="s">
        <v>756</v>
      </c>
      <c r="E514" s="34">
        <v>45107</v>
      </c>
      <c r="F514" s="35">
        <v>776.32491000000005</v>
      </c>
      <c r="G514" s="36">
        <v>10</v>
      </c>
      <c r="H514" s="37">
        <f t="shared" si="90"/>
        <v>77.632491000000002</v>
      </c>
      <c r="I514" s="35">
        <v>6119.4319999999998</v>
      </c>
      <c r="J514" s="35">
        <v>9948.2800000000007</v>
      </c>
      <c r="K514" s="35">
        <v>4515.598</v>
      </c>
      <c r="L514" s="35">
        <v>359.96</v>
      </c>
      <c r="M514" s="35">
        <v>234.28100000000001</v>
      </c>
      <c r="N514" s="37">
        <f t="shared" si="91"/>
        <v>57.424000000000007</v>
      </c>
      <c r="O514" s="35">
        <v>176.857</v>
      </c>
      <c r="P514" s="38">
        <v>0</v>
      </c>
      <c r="Q514" s="38">
        <v>0</v>
      </c>
      <c r="R514" s="39">
        <f t="shared" si="92"/>
        <v>0</v>
      </c>
      <c r="S514" s="38"/>
      <c r="T514" s="40">
        <v>3054</v>
      </c>
    </row>
    <row r="515" spans="2:20" ht="15.6" x14ac:dyDescent="0.3">
      <c r="B515" s="32">
        <f t="shared" si="93"/>
        <v>7</v>
      </c>
      <c r="C515" s="32" t="s">
        <v>757</v>
      </c>
      <c r="D515" s="33" t="s">
        <v>758</v>
      </c>
      <c r="E515" s="34">
        <v>45107</v>
      </c>
      <c r="F515" s="35">
        <f>10.764*G515</f>
        <v>107.63999999999999</v>
      </c>
      <c r="G515" s="36">
        <v>10</v>
      </c>
      <c r="H515" s="37">
        <f t="shared" si="90"/>
        <v>10.763999999999999</v>
      </c>
      <c r="I515" s="35">
        <v>862.29300000000001</v>
      </c>
      <c r="J515" s="35">
        <v>2970.5160000000001</v>
      </c>
      <c r="K515" s="35">
        <v>1413.4490000000001</v>
      </c>
      <c r="L515" s="35">
        <v>169.578</v>
      </c>
      <c r="M515" s="35">
        <v>-365.81099999999998</v>
      </c>
      <c r="N515" s="37">
        <f t="shared" si="91"/>
        <v>54.218000000000018</v>
      </c>
      <c r="O515" s="35">
        <v>-420.029</v>
      </c>
      <c r="P515" s="38">
        <v>0</v>
      </c>
      <c r="Q515" s="38">
        <v>0</v>
      </c>
      <c r="R515" s="39">
        <f t="shared" si="92"/>
        <v>0</v>
      </c>
      <c r="S515" s="38"/>
      <c r="T515" s="40">
        <v>3671</v>
      </c>
    </row>
    <row r="516" spans="2:20" ht="15.6" x14ac:dyDescent="0.3">
      <c r="B516" s="32">
        <f t="shared" si="93"/>
        <v>8</v>
      </c>
      <c r="C516" s="32" t="s">
        <v>759</v>
      </c>
      <c r="D516" s="33" t="s">
        <v>760</v>
      </c>
      <c r="E516" s="34">
        <v>45107</v>
      </c>
      <c r="F516" s="35">
        <v>1318.8186000000001</v>
      </c>
      <c r="G516" s="36">
        <v>10</v>
      </c>
      <c r="H516" s="37">
        <f t="shared" si="90"/>
        <v>131.88186000000002</v>
      </c>
      <c r="I516" s="35">
        <v>15249.27</v>
      </c>
      <c r="J516" s="35">
        <v>33956.326999999997</v>
      </c>
      <c r="K516" s="35">
        <v>26786.77</v>
      </c>
      <c r="L516" s="35">
        <v>1731.8810000000001</v>
      </c>
      <c r="M516" s="35">
        <v>2883.1080000000002</v>
      </c>
      <c r="N516" s="37">
        <f t="shared" si="91"/>
        <v>610.17200000000003</v>
      </c>
      <c r="O516" s="35">
        <v>2272.9360000000001</v>
      </c>
      <c r="P516" s="38">
        <f>55+20</f>
        <v>75</v>
      </c>
      <c r="Q516" s="38">
        <v>0</v>
      </c>
      <c r="R516" s="39">
        <f t="shared" si="92"/>
        <v>75</v>
      </c>
      <c r="S516" s="38"/>
      <c r="T516" s="40">
        <v>5414</v>
      </c>
    </row>
    <row r="517" spans="2:20" ht="15.6" x14ac:dyDescent="0.3">
      <c r="B517" s="32">
        <f t="shared" si="93"/>
        <v>9</v>
      </c>
      <c r="C517" s="32" t="s">
        <v>761</v>
      </c>
      <c r="D517" s="33" t="s">
        <v>762</v>
      </c>
      <c r="E517" s="34">
        <v>45107</v>
      </c>
      <c r="F517" s="35">
        <v>4350</v>
      </c>
      <c r="G517" s="36">
        <v>10</v>
      </c>
      <c r="H517" s="37">
        <f t="shared" si="90"/>
        <v>435</v>
      </c>
      <c r="I517" s="35">
        <v>21683.88</v>
      </c>
      <c r="J517" s="35">
        <v>42391.582000000002</v>
      </c>
      <c r="K517" s="35">
        <v>76753.334000000003</v>
      </c>
      <c r="L517" s="35">
        <v>2264.1669999999999</v>
      </c>
      <c r="M517" s="35">
        <v>5191.4110000000001</v>
      </c>
      <c r="N517" s="37">
        <f t="shared" si="91"/>
        <v>1672.6210000000001</v>
      </c>
      <c r="O517" s="35">
        <v>3518.79</v>
      </c>
      <c r="P517" s="38">
        <f>30+25</f>
        <v>55</v>
      </c>
      <c r="Q517" s="38">
        <v>0</v>
      </c>
      <c r="R517" s="39">
        <f t="shared" si="92"/>
        <v>55</v>
      </c>
      <c r="S517" s="38"/>
      <c r="T517" s="40">
        <v>7688</v>
      </c>
    </row>
    <row r="518" spans="2:20" ht="15.6" x14ac:dyDescent="0.3">
      <c r="B518" s="32">
        <f t="shared" si="93"/>
        <v>10</v>
      </c>
      <c r="C518" s="32" t="s">
        <v>763</v>
      </c>
      <c r="D518" s="33" t="s">
        <v>764</v>
      </c>
      <c r="E518" s="34">
        <v>45107</v>
      </c>
      <c r="F518" s="35">
        <f>144.343364*G518</f>
        <v>1443.4336400000002</v>
      </c>
      <c r="G518" s="36">
        <v>10</v>
      </c>
      <c r="H518" s="37">
        <f t="shared" si="90"/>
        <v>144.34336400000001</v>
      </c>
      <c r="I518" s="35">
        <v>4573.0545700000002</v>
      </c>
      <c r="J518" s="35">
        <v>7277.223473</v>
      </c>
      <c r="K518" s="35">
        <v>8284.4535670000005</v>
      </c>
      <c r="L518" s="35">
        <v>75.466898</v>
      </c>
      <c r="M518" s="35">
        <v>-145.417002</v>
      </c>
      <c r="N518" s="37">
        <f t="shared" si="91"/>
        <v>-50.960526000000002</v>
      </c>
      <c r="O518" s="35">
        <v>-94.456475999999995</v>
      </c>
      <c r="P518" s="38">
        <v>0</v>
      </c>
      <c r="Q518" s="38">
        <v>0</v>
      </c>
      <c r="R518" s="39">
        <f t="shared" si="92"/>
        <v>0</v>
      </c>
      <c r="S518" s="38"/>
      <c r="T518" s="40">
        <v>4988</v>
      </c>
    </row>
    <row r="519" spans="2:20" ht="15.6" x14ac:dyDescent="0.3">
      <c r="B519" s="32">
        <f t="shared" si="93"/>
        <v>11</v>
      </c>
      <c r="C519" s="32" t="s">
        <v>765</v>
      </c>
      <c r="D519" s="33" t="s">
        <v>766</v>
      </c>
      <c r="E519" s="34">
        <v>45291</v>
      </c>
      <c r="F519" s="35">
        <v>132</v>
      </c>
      <c r="G519" s="36">
        <v>10</v>
      </c>
      <c r="H519" s="37">
        <f t="shared" si="90"/>
        <v>13.2</v>
      </c>
      <c r="I519" s="35">
        <v>2014.372824</v>
      </c>
      <c r="J519" s="35">
        <v>6247.6746869999997</v>
      </c>
      <c r="K519" s="35">
        <v>5755.0398100000002</v>
      </c>
      <c r="L519" s="35">
        <v>372.26665000000003</v>
      </c>
      <c r="M519" s="35">
        <v>12.254395000000001</v>
      </c>
      <c r="N519" s="37">
        <f t="shared" si="91"/>
        <v>11.411399000000001</v>
      </c>
      <c r="O519" s="35">
        <v>0.84299599999999997</v>
      </c>
      <c r="P519" s="38">
        <v>0</v>
      </c>
      <c r="Q519" s="38">
        <v>0</v>
      </c>
      <c r="R519" s="39">
        <f t="shared" si="92"/>
        <v>0</v>
      </c>
      <c r="S519" s="38"/>
      <c r="T519" s="40">
        <v>1064</v>
      </c>
    </row>
    <row r="520" spans="2:20" ht="15.6" x14ac:dyDescent="0.3">
      <c r="B520" s="32">
        <f t="shared" si="93"/>
        <v>12</v>
      </c>
      <c r="C520" s="32" t="s">
        <v>767</v>
      </c>
      <c r="D520" s="33" t="s">
        <v>768</v>
      </c>
      <c r="E520" s="34">
        <v>45107</v>
      </c>
      <c r="F520" s="35">
        <v>309.77600000000001</v>
      </c>
      <c r="G520" s="36">
        <v>10</v>
      </c>
      <c r="H520" s="37">
        <f t="shared" si="90"/>
        <v>30.977600000000002</v>
      </c>
      <c r="I520" s="35">
        <v>838.08799999999997</v>
      </c>
      <c r="J520" s="35">
        <v>929.96400000000006</v>
      </c>
      <c r="K520" s="35">
        <v>99.203000000000003</v>
      </c>
      <c r="L520" s="35">
        <v>0.26100000000000001</v>
      </c>
      <c r="M520" s="35">
        <v>-13.855</v>
      </c>
      <c r="N520" s="37">
        <f t="shared" si="91"/>
        <v>-0.85500000000000043</v>
      </c>
      <c r="O520" s="35">
        <v>-13</v>
      </c>
      <c r="P520" s="38">
        <v>0</v>
      </c>
      <c r="Q520" s="38">
        <v>0</v>
      </c>
      <c r="R520" s="39">
        <f t="shared" si="92"/>
        <v>0</v>
      </c>
      <c r="S520" s="38"/>
      <c r="T520" s="40">
        <v>3573</v>
      </c>
    </row>
    <row r="521" spans="2:20" ht="15.6" x14ac:dyDescent="0.3">
      <c r="B521" s="32">
        <f t="shared" si="93"/>
        <v>13</v>
      </c>
      <c r="C521" s="32" t="s">
        <v>769</v>
      </c>
      <c r="D521" s="33" t="s">
        <v>770</v>
      </c>
      <c r="E521" s="34">
        <v>45107</v>
      </c>
      <c r="F521" s="35">
        <f>335.633933*G521</f>
        <v>3356.3393300000002</v>
      </c>
      <c r="G521" s="36">
        <v>10</v>
      </c>
      <c r="H521" s="37">
        <f t="shared" si="90"/>
        <v>335.63393300000001</v>
      </c>
      <c r="I521" s="35">
        <v>25372.435946000001</v>
      </c>
      <c r="J521" s="35">
        <v>59831.987478000003</v>
      </c>
      <c r="K521" s="35">
        <v>67390.170763000002</v>
      </c>
      <c r="L521" s="35">
        <v>4423.1820010000001</v>
      </c>
      <c r="M521" s="35">
        <v>4346.3972160000003</v>
      </c>
      <c r="N521" s="37">
        <f t="shared" si="91"/>
        <v>865.91242500000044</v>
      </c>
      <c r="O521" s="35">
        <v>3480.4847909999999</v>
      </c>
      <c r="P521" s="38">
        <v>32</v>
      </c>
      <c r="Q521" s="38">
        <v>0</v>
      </c>
      <c r="R521" s="39">
        <f t="shared" si="92"/>
        <v>32</v>
      </c>
      <c r="S521" s="38"/>
      <c r="T521" s="40">
        <v>6483</v>
      </c>
    </row>
    <row r="522" spans="2:20" ht="15.6" x14ac:dyDescent="0.3">
      <c r="B522" s="27"/>
      <c r="C522" s="27"/>
      <c r="D522" s="27"/>
      <c r="E522" s="27"/>
      <c r="F522" s="27"/>
      <c r="G522" s="42"/>
      <c r="H522" s="43"/>
      <c r="I522" s="29"/>
      <c r="J522" s="29"/>
      <c r="K522" s="29"/>
      <c r="L522" s="29"/>
      <c r="M522" s="29"/>
      <c r="N522" s="44"/>
      <c r="O522" s="29"/>
      <c r="P522" s="29"/>
      <c r="Q522" s="29"/>
      <c r="R522" s="44"/>
      <c r="S522" s="29"/>
      <c r="T522" s="29"/>
    </row>
    <row r="523" spans="2:20" ht="18" x14ac:dyDescent="0.35">
      <c r="B523" s="27"/>
      <c r="C523" s="27"/>
      <c r="D523" s="55" t="s">
        <v>43</v>
      </c>
      <c r="E523" s="27"/>
      <c r="F523" s="27"/>
      <c r="G523" s="42"/>
      <c r="H523" s="43"/>
      <c r="I523" s="29"/>
      <c r="J523" s="29"/>
      <c r="K523" s="29"/>
      <c r="L523" s="29"/>
      <c r="M523" s="29"/>
      <c r="N523" s="44"/>
      <c r="O523" s="29"/>
      <c r="P523" s="29"/>
      <c r="Q523" s="29"/>
      <c r="R523" s="44"/>
      <c r="S523" s="29"/>
      <c r="T523" s="29"/>
    </row>
    <row r="524" spans="2:20" ht="15.6" x14ac:dyDescent="0.3">
      <c r="B524" s="32">
        <v>1</v>
      </c>
      <c r="C524" s="32" t="s">
        <v>771</v>
      </c>
      <c r="D524" s="33" t="s">
        <v>772</v>
      </c>
      <c r="E524" s="34">
        <v>45107</v>
      </c>
      <c r="F524" s="35">
        <f>315.73386*G524</f>
        <v>3157.3386</v>
      </c>
      <c r="G524" s="36">
        <v>10</v>
      </c>
      <c r="H524" s="37">
        <f>+F524/G524</f>
        <v>315.73385999999999</v>
      </c>
      <c r="I524" s="35">
        <v>29.010301999999999</v>
      </c>
      <c r="J524" s="35">
        <v>2604.8411919999999</v>
      </c>
      <c r="K524" s="35">
        <v>0</v>
      </c>
      <c r="L524" s="35">
        <v>154.66623200000001</v>
      </c>
      <c r="M524" s="35">
        <v>-212.56722500000001</v>
      </c>
      <c r="N524" s="37">
        <f>+M524-O524</f>
        <v>0</v>
      </c>
      <c r="O524" s="35">
        <v>-212.56722500000001</v>
      </c>
      <c r="P524" s="38">
        <v>0</v>
      </c>
      <c r="Q524" s="38">
        <v>0</v>
      </c>
      <c r="R524" s="39">
        <f>SUM(P524:Q524)</f>
        <v>0</v>
      </c>
      <c r="S524" s="38"/>
      <c r="T524" s="40">
        <v>12138</v>
      </c>
    </row>
    <row r="525" spans="2:20" ht="15.6" x14ac:dyDescent="0.3">
      <c r="B525" s="32">
        <f t="shared" ref="B525:B526" si="94">+B524+1</f>
        <v>2</v>
      </c>
      <c r="C525" s="32" t="s">
        <v>773</v>
      </c>
      <c r="D525" s="33" t="s">
        <v>774</v>
      </c>
      <c r="E525" s="34">
        <v>45107</v>
      </c>
      <c r="F525" s="35"/>
      <c r="G525" s="36">
        <v>10</v>
      </c>
      <c r="H525" s="37">
        <f>+F525/G525</f>
        <v>0</v>
      </c>
      <c r="I525" s="35"/>
      <c r="J525" s="35"/>
      <c r="K525" s="35"/>
      <c r="L525" s="35"/>
      <c r="M525" s="35"/>
      <c r="N525" s="37">
        <f>+M525-O525</f>
        <v>0</v>
      </c>
      <c r="O525" s="35"/>
      <c r="P525" s="38"/>
      <c r="Q525" s="38"/>
      <c r="R525" s="39">
        <f>SUM(P525:Q525)</f>
        <v>0</v>
      </c>
      <c r="S525" s="38"/>
      <c r="T525" s="40"/>
    </row>
    <row r="526" spans="2:20" ht="15.6" x14ac:dyDescent="0.3">
      <c r="B526" s="32">
        <f t="shared" si="94"/>
        <v>3</v>
      </c>
      <c r="C526" s="32" t="s">
        <v>775</v>
      </c>
      <c r="D526" s="33" t="s">
        <v>776</v>
      </c>
      <c r="E526" s="34">
        <v>45107</v>
      </c>
      <c r="F526" s="35"/>
      <c r="G526" s="36">
        <v>10</v>
      </c>
      <c r="H526" s="37">
        <f>+F526/G526</f>
        <v>0</v>
      </c>
      <c r="I526" s="35"/>
      <c r="J526" s="35"/>
      <c r="K526" s="35"/>
      <c r="L526" s="35"/>
      <c r="M526" s="35"/>
      <c r="N526" s="37">
        <f>+M526-O526</f>
        <v>0</v>
      </c>
      <c r="O526" s="35"/>
      <c r="P526" s="38"/>
      <c r="Q526" s="38"/>
      <c r="R526" s="39">
        <f>SUM(P526:Q526)</f>
        <v>0</v>
      </c>
      <c r="S526" s="38"/>
      <c r="T526" s="40"/>
    </row>
    <row r="527" spans="2:20" ht="15.6" x14ac:dyDescent="0.3">
      <c r="B527" s="27"/>
      <c r="C527" s="27"/>
      <c r="D527" s="27"/>
      <c r="E527" s="27"/>
      <c r="F527" s="27"/>
      <c r="G527" s="42"/>
      <c r="H527" s="43"/>
      <c r="I527" s="29"/>
      <c r="J527" s="29"/>
      <c r="K527" s="29"/>
      <c r="L527" s="29"/>
      <c r="M527" s="29"/>
      <c r="N527" s="44"/>
      <c r="O527" s="29"/>
      <c r="P527" s="29"/>
      <c r="Q527" s="29"/>
      <c r="R527" s="44"/>
      <c r="S527" s="29"/>
      <c r="T527" s="29"/>
    </row>
    <row r="528" spans="2:20" ht="15.6" x14ac:dyDescent="0.3">
      <c r="B528" s="46">
        <f>COUNT(B509:B527)</f>
        <v>16</v>
      </c>
      <c r="C528" s="46"/>
      <c r="D528" s="47"/>
      <c r="E528" s="47"/>
      <c r="F528" s="47">
        <f>SUM(F509:F527)</f>
        <v>34582.934829999998</v>
      </c>
      <c r="G528" s="48"/>
      <c r="H528" s="49">
        <f>SUM(H509:H527)</f>
        <v>3458.2934829999995</v>
      </c>
      <c r="I528" s="47">
        <f>SUM(I509:I527)</f>
        <v>126943.780868</v>
      </c>
      <c r="J528" s="47">
        <f>SUM(J509:J527)</f>
        <v>293139.87020600005</v>
      </c>
      <c r="K528" s="47">
        <f>SUM(K509:K527)</f>
        <v>294092.34748300002</v>
      </c>
      <c r="L528" s="47">
        <f>SUM(L509:L527)</f>
        <v>20512.841827999997</v>
      </c>
      <c r="M528" s="47">
        <f>SUM(M509:M527)</f>
        <v>8173.0190040000007</v>
      </c>
      <c r="N528" s="50">
        <f>SUM(N509:N527)</f>
        <v>2681.1736430000005</v>
      </c>
      <c r="O528" s="47">
        <f>SUM(O509:O527)</f>
        <v>5491.8453610000006</v>
      </c>
      <c r="P528" s="51"/>
      <c r="Q528" s="51"/>
      <c r="R528" s="52"/>
      <c r="S528" s="51"/>
      <c r="T528" s="53">
        <f>SUM(T509:T527)</f>
        <v>79482</v>
      </c>
    </row>
    <row r="529" spans="2:20" ht="15.6" x14ac:dyDescent="0.3">
      <c r="B529" s="27"/>
      <c r="C529" s="27"/>
      <c r="D529" s="27"/>
      <c r="E529" s="27"/>
      <c r="F529" s="27"/>
      <c r="G529" s="42"/>
      <c r="H529" s="43"/>
      <c r="I529" s="29"/>
      <c r="J529" s="29"/>
      <c r="K529" s="29"/>
      <c r="L529" s="29"/>
      <c r="M529" s="29"/>
      <c r="N529" s="44"/>
      <c r="O529" s="29"/>
      <c r="P529" s="29"/>
      <c r="Q529" s="29"/>
      <c r="R529" s="44"/>
      <c r="S529" s="29"/>
      <c r="T529" s="29"/>
    </row>
    <row r="530" spans="2:20" ht="15.6" x14ac:dyDescent="0.3">
      <c r="B530" s="27"/>
      <c r="C530" s="27"/>
      <c r="D530" s="27"/>
      <c r="E530" s="27"/>
      <c r="F530" s="27"/>
      <c r="G530" s="42"/>
      <c r="H530" s="43"/>
      <c r="I530" s="29"/>
      <c r="J530" s="29"/>
      <c r="K530" s="29"/>
      <c r="L530" s="29"/>
      <c r="M530" s="29"/>
      <c r="N530" s="44"/>
      <c r="O530" s="29"/>
      <c r="P530" s="29"/>
      <c r="Q530" s="29"/>
      <c r="R530" s="44"/>
      <c r="S530" s="29"/>
      <c r="T530" s="29"/>
    </row>
    <row r="531" spans="2:20" ht="18" x14ac:dyDescent="0.35">
      <c r="B531" s="27"/>
      <c r="C531" s="31">
        <v>23</v>
      </c>
      <c r="D531" s="31" t="s">
        <v>777</v>
      </c>
      <c r="E531" s="60"/>
      <c r="F531" s="60"/>
      <c r="G531" s="42"/>
      <c r="H531" s="43"/>
      <c r="I531" s="29"/>
      <c r="J531" s="29"/>
      <c r="K531" s="29"/>
      <c r="L531" s="29"/>
      <c r="M531" s="29"/>
      <c r="N531" s="44"/>
      <c r="O531" s="29"/>
      <c r="P531" s="29"/>
      <c r="Q531" s="29"/>
      <c r="R531" s="44"/>
      <c r="S531" s="29"/>
      <c r="T531" s="29"/>
    </row>
    <row r="532" spans="2:20" ht="15.6" x14ac:dyDescent="0.3">
      <c r="B532" s="27"/>
      <c r="C532" s="27"/>
      <c r="D532" s="27"/>
      <c r="E532" s="27"/>
      <c r="F532" s="27"/>
      <c r="G532" s="42"/>
      <c r="H532" s="43"/>
      <c r="I532" s="29"/>
      <c r="J532" s="29"/>
      <c r="K532" s="29"/>
      <c r="L532" s="29"/>
      <c r="M532" s="29"/>
      <c r="N532" s="44"/>
      <c r="O532" s="29"/>
      <c r="P532" s="29"/>
      <c r="Q532" s="29"/>
      <c r="R532" s="44"/>
      <c r="S532" s="29"/>
      <c r="T532" s="29"/>
    </row>
    <row r="533" spans="2:20" ht="15.6" x14ac:dyDescent="0.3">
      <c r="B533" s="32">
        <v>1</v>
      </c>
      <c r="C533" s="32" t="s">
        <v>778</v>
      </c>
      <c r="D533" s="33" t="s">
        <v>779</v>
      </c>
      <c r="E533" s="34">
        <v>45291</v>
      </c>
      <c r="F533" s="35">
        <v>289.82100000000003</v>
      </c>
      <c r="G533" s="36">
        <v>5</v>
      </c>
      <c r="H533" s="37">
        <f t="shared" ref="H533:H543" si="95">+F533/G533</f>
        <v>57.964200000000005</v>
      </c>
      <c r="I533" s="35">
        <v>5780.2250000000004</v>
      </c>
      <c r="J533" s="35">
        <v>14229.633</v>
      </c>
      <c r="K533" s="35">
        <v>34543.544999999998</v>
      </c>
      <c r="L533" s="35">
        <v>356.40199999999999</v>
      </c>
      <c r="M533" s="35">
        <v>4687.0919999999996</v>
      </c>
      <c r="N533" s="37">
        <f t="shared" ref="N533:N543" si="96">+M533-O533</f>
        <v>2075.3199999999997</v>
      </c>
      <c r="O533" s="35">
        <v>2611.7719999999999</v>
      </c>
      <c r="P533" s="38">
        <v>0</v>
      </c>
      <c r="Q533" s="38">
        <v>0</v>
      </c>
      <c r="R533" s="39">
        <f t="shared" ref="R533:R543" si="97">SUM(P533:Q533)</f>
        <v>0</v>
      </c>
      <c r="S533" s="38"/>
      <c r="T533" s="40">
        <v>2475</v>
      </c>
    </row>
    <row r="534" spans="2:20" ht="15.6" x14ac:dyDescent="0.3">
      <c r="B534" s="32">
        <f>+B533+1</f>
        <v>2</v>
      </c>
      <c r="C534" s="32" t="s">
        <v>780</v>
      </c>
      <c r="D534" s="33" t="s">
        <v>781</v>
      </c>
      <c r="E534" s="34">
        <v>45016</v>
      </c>
      <c r="F534" s="35">
        <v>1240.8789999999999</v>
      </c>
      <c r="G534" s="36">
        <v>10</v>
      </c>
      <c r="H534" s="37">
        <f t="shared" si="95"/>
        <v>124.08789999999999</v>
      </c>
      <c r="I534" s="35">
        <v>22779.941999999999</v>
      </c>
      <c r="J534" s="35">
        <v>70037.587</v>
      </c>
      <c r="K534" s="35">
        <v>135485.652</v>
      </c>
      <c r="L534" s="35">
        <v>76.027000000000001</v>
      </c>
      <c r="M534" s="35">
        <v>8103.0429999999997</v>
      </c>
      <c r="N534" s="37">
        <f t="shared" si="96"/>
        <v>3098.8879999999999</v>
      </c>
      <c r="O534" s="35">
        <v>5004.1549999999997</v>
      </c>
      <c r="P534" s="38">
        <f>110+130</f>
        <v>240</v>
      </c>
      <c r="Q534" s="38">
        <v>0</v>
      </c>
      <c r="R534" s="39">
        <f t="shared" si="97"/>
        <v>240</v>
      </c>
      <c r="S534" s="38"/>
      <c r="T534" s="40">
        <v>1670</v>
      </c>
    </row>
    <row r="535" spans="2:20" ht="15.6" x14ac:dyDescent="0.3">
      <c r="B535" s="32">
        <f t="shared" ref="B535:B543" si="98">+B534+1</f>
        <v>3</v>
      </c>
      <c r="C535" s="32" t="s">
        <v>782</v>
      </c>
      <c r="D535" s="33" t="s">
        <v>783</v>
      </c>
      <c r="E535" s="34">
        <v>45107</v>
      </c>
      <c r="F535" s="35">
        <f>138.735242*G535</f>
        <v>1387.3524199999999</v>
      </c>
      <c r="G535" s="36">
        <v>10</v>
      </c>
      <c r="H535" s="37">
        <f>+F535/G535</f>
        <v>138.735242</v>
      </c>
      <c r="I535" s="35">
        <v>-3242.04</v>
      </c>
      <c r="J535" s="35">
        <v>2879.3130000000001</v>
      </c>
      <c r="K535" s="35">
        <v>0.18</v>
      </c>
      <c r="L535" s="35">
        <v>8.9999999999999993E-3</v>
      </c>
      <c r="M535" s="35">
        <v>-230.803</v>
      </c>
      <c r="N535" s="37">
        <f>+M535-O535</f>
        <v>2.0000000000095497E-3</v>
      </c>
      <c r="O535" s="35">
        <v>-230.80500000000001</v>
      </c>
      <c r="P535" s="38">
        <v>0</v>
      </c>
      <c r="Q535" s="38">
        <v>0</v>
      </c>
      <c r="R535" s="39">
        <f>SUM(P535:Q535)</f>
        <v>0</v>
      </c>
      <c r="S535" s="38"/>
      <c r="T535" s="40">
        <v>4934</v>
      </c>
    </row>
    <row r="536" spans="2:20" ht="15.6" x14ac:dyDescent="0.3">
      <c r="B536" s="32">
        <f t="shared" si="98"/>
        <v>4</v>
      </c>
      <c r="C536" s="32" t="s">
        <v>784</v>
      </c>
      <c r="D536" s="33" t="s">
        <v>785</v>
      </c>
      <c r="E536" s="34">
        <v>45107</v>
      </c>
      <c r="F536" s="35">
        <f>42.608844*G536</f>
        <v>426.08843999999999</v>
      </c>
      <c r="G536" s="36">
        <v>10</v>
      </c>
      <c r="H536" s="37">
        <f t="shared" si="95"/>
        <v>42.608843999999998</v>
      </c>
      <c r="I536" s="35">
        <v>8222.1350000000002</v>
      </c>
      <c r="J536" s="35">
        <v>16495.195</v>
      </c>
      <c r="K536" s="35">
        <v>14542.578</v>
      </c>
      <c r="L536" s="35">
        <v>769.28499999999997</v>
      </c>
      <c r="M536" s="35">
        <v>423.83199999999999</v>
      </c>
      <c r="N536" s="37">
        <f t="shared" si="96"/>
        <v>244.40799999999999</v>
      </c>
      <c r="O536" s="35">
        <v>179.42400000000001</v>
      </c>
      <c r="P536" s="38">
        <v>0</v>
      </c>
      <c r="Q536" s="38">
        <v>0</v>
      </c>
      <c r="R536" s="39">
        <f t="shared" si="97"/>
        <v>0</v>
      </c>
      <c r="S536" s="38"/>
      <c r="T536" s="40">
        <v>7925</v>
      </c>
    </row>
    <row r="537" spans="2:20" ht="15.6" x14ac:dyDescent="0.3">
      <c r="B537" s="32">
        <f t="shared" si="98"/>
        <v>5</v>
      </c>
      <c r="C537" s="32" t="s">
        <v>786</v>
      </c>
      <c r="D537" s="33" t="s">
        <v>787</v>
      </c>
      <c r="E537" s="34">
        <v>45107</v>
      </c>
      <c r="F537" s="35">
        <f>57.0025*G537</f>
        <v>570.02499999999998</v>
      </c>
      <c r="G537" s="36">
        <v>10</v>
      </c>
      <c r="H537" s="37">
        <f t="shared" si="95"/>
        <v>57.002499999999998</v>
      </c>
      <c r="I537" s="35">
        <v>6169.56</v>
      </c>
      <c r="J537" s="35">
        <v>10092.018</v>
      </c>
      <c r="K537" s="35">
        <v>10033.096</v>
      </c>
      <c r="L537" s="35">
        <v>294.19799999999998</v>
      </c>
      <c r="M537" s="35">
        <v>243.279</v>
      </c>
      <c r="N537" s="37">
        <f t="shared" si="96"/>
        <v>179.583</v>
      </c>
      <c r="O537" s="35">
        <v>63.695999999999998</v>
      </c>
      <c r="P537" s="38">
        <v>0</v>
      </c>
      <c r="Q537" s="38">
        <v>0</v>
      </c>
      <c r="R537" s="39">
        <f t="shared" si="97"/>
        <v>0</v>
      </c>
      <c r="S537" s="38"/>
      <c r="T537" s="40">
        <v>5979</v>
      </c>
    </row>
    <row r="538" spans="2:20" ht="15.6" x14ac:dyDescent="0.3">
      <c r="B538" s="32">
        <f t="shared" si="98"/>
        <v>6</v>
      </c>
      <c r="C538" s="32" t="s">
        <v>788</v>
      </c>
      <c r="D538" s="33" t="s">
        <v>789</v>
      </c>
      <c r="E538" s="34">
        <v>45016</v>
      </c>
      <c r="F538" s="35">
        <v>1428</v>
      </c>
      <c r="G538" s="36">
        <v>10</v>
      </c>
      <c r="H538" s="37">
        <f t="shared" si="95"/>
        <v>142.80000000000001</v>
      </c>
      <c r="I538" s="35">
        <v>19264.325000000001</v>
      </c>
      <c r="J538" s="35">
        <v>62688.084000000003</v>
      </c>
      <c r="K538" s="35">
        <v>95087.251000000004</v>
      </c>
      <c r="L538" s="35">
        <v>346.14100000000002</v>
      </c>
      <c r="M538" s="35">
        <v>1982.6479999999999</v>
      </c>
      <c r="N538" s="37">
        <f t="shared" si="96"/>
        <v>1722.5069999999998</v>
      </c>
      <c r="O538" s="35">
        <v>260.14100000000002</v>
      </c>
      <c r="P538" s="38">
        <v>0</v>
      </c>
      <c r="Q538" s="38">
        <v>0</v>
      </c>
      <c r="R538" s="39">
        <f t="shared" si="97"/>
        <v>0</v>
      </c>
      <c r="S538" s="38"/>
      <c r="T538" s="40">
        <v>7401</v>
      </c>
    </row>
    <row r="539" spans="2:20" ht="15.6" x14ac:dyDescent="0.3">
      <c r="B539" s="32">
        <f t="shared" si="98"/>
        <v>7</v>
      </c>
      <c r="C539" s="32" t="s">
        <v>790</v>
      </c>
      <c r="D539" s="33" t="s">
        <v>791</v>
      </c>
      <c r="E539" s="34">
        <v>45016</v>
      </c>
      <c r="F539" s="35">
        <v>248.0112</v>
      </c>
      <c r="G539" s="36">
        <v>10</v>
      </c>
      <c r="H539" s="37">
        <f t="shared" si="95"/>
        <v>24.801120000000001</v>
      </c>
      <c r="I539" s="35">
        <v>5154.71</v>
      </c>
      <c r="J539" s="35">
        <v>9138.6180000000004</v>
      </c>
      <c r="K539" s="35">
        <v>13185.973</v>
      </c>
      <c r="L539" s="35">
        <v>255.858</v>
      </c>
      <c r="M539" s="35">
        <v>260.68900000000002</v>
      </c>
      <c r="N539" s="37">
        <f t="shared" si="96"/>
        <v>244.65600000000001</v>
      </c>
      <c r="O539" s="35">
        <v>16.033000000000001</v>
      </c>
      <c r="P539" s="38">
        <v>0</v>
      </c>
      <c r="Q539" s="38">
        <v>0</v>
      </c>
      <c r="R539" s="39">
        <f t="shared" si="97"/>
        <v>0</v>
      </c>
      <c r="S539" s="38"/>
      <c r="T539" s="40">
        <v>1671</v>
      </c>
    </row>
    <row r="540" spans="2:20" ht="15.6" x14ac:dyDescent="0.3">
      <c r="B540" s="32">
        <f t="shared" si="98"/>
        <v>8</v>
      </c>
      <c r="C540" s="32" t="s">
        <v>792</v>
      </c>
      <c r="D540" s="33" t="s">
        <v>793</v>
      </c>
      <c r="E540" s="34">
        <v>45107</v>
      </c>
      <c r="F540" s="35">
        <v>786</v>
      </c>
      <c r="G540" s="36">
        <v>10</v>
      </c>
      <c r="H540" s="37">
        <f t="shared" si="95"/>
        <v>78.599999999999994</v>
      </c>
      <c r="I540" s="35">
        <v>60069.911999999997</v>
      </c>
      <c r="J540" s="35">
        <v>122764.311</v>
      </c>
      <c r="K540" s="35">
        <v>177710.63699999999</v>
      </c>
      <c r="L540" s="35">
        <v>140.72499999999999</v>
      </c>
      <c r="M540" s="35">
        <v>16797.198</v>
      </c>
      <c r="N540" s="37">
        <f t="shared" si="96"/>
        <v>7132.7690000000002</v>
      </c>
      <c r="O540" s="35">
        <v>9664.4290000000001</v>
      </c>
      <c r="P540" s="38">
        <f>82+102+244+290</f>
        <v>718</v>
      </c>
      <c r="Q540" s="38">
        <v>0</v>
      </c>
      <c r="R540" s="39">
        <f t="shared" si="97"/>
        <v>718</v>
      </c>
      <c r="S540" s="38"/>
      <c r="T540" s="40">
        <v>4487</v>
      </c>
    </row>
    <row r="541" spans="2:20" ht="15.6" x14ac:dyDescent="0.3">
      <c r="B541" s="32">
        <f t="shared" si="98"/>
        <v>9</v>
      </c>
      <c r="C541" s="32" t="s">
        <v>794</v>
      </c>
      <c r="D541" s="33" t="s">
        <v>795</v>
      </c>
      <c r="E541" s="34">
        <v>45107</v>
      </c>
      <c r="F541" s="35">
        <v>1917.9829999999999</v>
      </c>
      <c r="G541" s="36">
        <v>10</v>
      </c>
      <c r="H541" s="37">
        <f t="shared" si="95"/>
        <v>191.79829999999998</v>
      </c>
      <c r="I541" s="35">
        <v>7717.652</v>
      </c>
      <c r="J541" s="35">
        <v>25692.934000000001</v>
      </c>
      <c r="K541" s="35">
        <v>44190.843000000001</v>
      </c>
      <c r="L541" s="35">
        <v>1357</v>
      </c>
      <c r="M541" s="35">
        <v>5350.223</v>
      </c>
      <c r="N541" s="37">
        <f t="shared" si="96"/>
        <v>1972.587</v>
      </c>
      <c r="O541" s="35">
        <v>3377.636</v>
      </c>
      <c r="P541" s="38">
        <f>100+150</f>
        <v>250</v>
      </c>
      <c r="Q541" s="38">
        <f>10+50</f>
        <v>60</v>
      </c>
      <c r="R541" s="39">
        <f t="shared" si="97"/>
        <v>310</v>
      </c>
      <c r="S541" s="38"/>
      <c r="T541" s="40">
        <v>9259</v>
      </c>
    </row>
    <row r="542" spans="2:20" ht="15.6" x14ac:dyDescent="0.3">
      <c r="B542" s="32">
        <f t="shared" si="98"/>
        <v>10</v>
      </c>
      <c r="C542" s="32" t="s">
        <v>796</v>
      </c>
      <c r="D542" s="33" t="s">
        <v>797</v>
      </c>
      <c r="E542" s="34">
        <v>45291</v>
      </c>
      <c r="F542" s="35">
        <v>822.99851000000001</v>
      </c>
      <c r="G542" s="36">
        <v>10</v>
      </c>
      <c r="H542" s="37">
        <f t="shared" si="95"/>
        <v>82.299851000000004</v>
      </c>
      <c r="I542" s="35">
        <v>9818.0810000000001</v>
      </c>
      <c r="J542" s="35">
        <v>84198.380999999994</v>
      </c>
      <c r="K542" s="35">
        <v>102109.38</v>
      </c>
      <c r="L542" s="35">
        <v>10963.736999999999</v>
      </c>
      <c r="M542" s="35">
        <v>28.939</v>
      </c>
      <c r="N542" s="37">
        <f t="shared" si="96"/>
        <v>10098.630000000001</v>
      </c>
      <c r="O542" s="35">
        <v>-10069.691000000001</v>
      </c>
      <c r="P542" s="38">
        <v>0</v>
      </c>
      <c r="Q542" s="38">
        <v>0</v>
      </c>
      <c r="R542" s="39">
        <f t="shared" si="97"/>
        <v>0</v>
      </c>
      <c r="S542" s="38"/>
      <c r="T542" s="40">
        <v>5306</v>
      </c>
    </row>
    <row r="543" spans="2:20" ht="15.6" x14ac:dyDescent="0.3">
      <c r="B543" s="32">
        <f t="shared" si="98"/>
        <v>11</v>
      </c>
      <c r="C543" s="32" t="s">
        <v>798</v>
      </c>
      <c r="D543" s="33" t="s">
        <v>799</v>
      </c>
      <c r="E543" s="34">
        <v>45107</v>
      </c>
      <c r="F543" s="35">
        <v>604.45961</v>
      </c>
      <c r="G543" s="36">
        <v>10</v>
      </c>
      <c r="H543" s="37">
        <f t="shared" si="95"/>
        <v>60.445960999999997</v>
      </c>
      <c r="I543" s="35">
        <v>2915.0480619999998</v>
      </c>
      <c r="J543" s="35">
        <v>7685.132987</v>
      </c>
      <c r="K543" s="35">
        <v>18174.296868000001</v>
      </c>
      <c r="L543" s="35">
        <v>167.80182199999999</v>
      </c>
      <c r="M543" s="35">
        <v>1481.435745</v>
      </c>
      <c r="N543" s="37">
        <f t="shared" si="96"/>
        <v>486.35912099999996</v>
      </c>
      <c r="O543" s="35">
        <v>995.07662400000004</v>
      </c>
      <c r="P543" s="38">
        <v>40</v>
      </c>
      <c r="Q543" s="38">
        <v>0</v>
      </c>
      <c r="R543" s="39">
        <f t="shared" si="97"/>
        <v>40</v>
      </c>
      <c r="S543" s="38"/>
      <c r="T543" s="40">
        <v>5526</v>
      </c>
    </row>
    <row r="544" spans="2:20" ht="15.6" x14ac:dyDescent="0.3">
      <c r="B544" s="62"/>
      <c r="C544" s="62"/>
      <c r="D544" s="63"/>
      <c r="E544" s="64"/>
      <c r="F544" s="65"/>
      <c r="G544" s="42"/>
      <c r="H544" s="66"/>
      <c r="I544" s="65"/>
      <c r="J544" s="65"/>
      <c r="K544" s="65"/>
      <c r="L544" s="65"/>
      <c r="M544" s="65"/>
      <c r="N544" s="66"/>
      <c r="O544" s="65"/>
      <c r="P544" s="67"/>
      <c r="Q544" s="67"/>
      <c r="R544" s="68"/>
      <c r="S544" s="67"/>
      <c r="T544" s="69"/>
    </row>
    <row r="545" spans="2:20" ht="15.6" x14ac:dyDescent="0.3">
      <c r="B545" s="46">
        <f>COUNT(B533:B544)</f>
        <v>11</v>
      </c>
      <c r="C545" s="46"/>
      <c r="D545" s="47"/>
      <c r="E545" s="47"/>
      <c r="F545" s="47">
        <f>SUM(F533:F544)</f>
        <v>9721.6181799999995</v>
      </c>
      <c r="G545" s="48"/>
      <c r="H545" s="49">
        <f>SUM(H533:H544)</f>
        <v>1001.1439179999999</v>
      </c>
      <c r="I545" s="47">
        <f>SUM(I533:I544)</f>
        <v>144649.55006199999</v>
      </c>
      <c r="J545" s="47">
        <f>SUM(J533:J544)</f>
        <v>425901.20698700001</v>
      </c>
      <c r="K545" s="47">
        <f>SUM(K533:K544)</f>
        <v>645063.43186799996</v>
      </c>
      <c r="L545" s="47">
        <f>SUM(L533:L544)</f>
        <v>14727.183821999999</v>
      </c>
      <c r="M545" s="47">
        <f>SUM(M533:M544)</f>
        <v>39127.575745000002</v>
      </c>
      <c r="N545" s="50">
        <f>SUM(N533:N544)</f>
        <v>27255.709121000004</v>
      </c>
      <c r="O545" s="47">
        <f>SUM(O533:O544)</f>
        <v>11871.866623999998</v>
      </c>
      <c r="P545" s="51"/>
      <c r="Q545" s="51"/>
      <c r="R545" s="52"/>
      <c r="S545" s="51"/>
      <c r="T545" s="53">
        <f>SUM(T533:T544)</f>
        <v>56633</v>
      </c>
    </row>
    <row r="546" spans="2:20" ht="15.6" x14ac:dyDescent="0.3">
      <c r="B546" s="27"/>
      <c r="C546" s="27"/>
      <c r="D546" s="27"/>
      <c r="E546" s="27"/>
      <c r="F546" s="27"/>
      <c r="G546" s="42"/>
      <c r="H546" s="43"/>
      <c r="I546" s="29"/>
      <c r="J546" s="29"/>
      <c r="K546" s="29"/>
      <c r="L546" s="29"/>
      <c r="M546" s="29"/>
      <c r="N546" s="44"/>
      <c r="O546" s="29"/>
      <c r="P546" s="29"/>
      <c r="Q546" s="29"/>
      <c r="R546" s="44"/>
      <c r="S546" s="29"/>
      <c r="T546" s="29"/>
    </row>
    <row r="547" spans="2:20" ht="15.6" x14ac:dyDescent="0.3">
      <c r="B547" s="27"/>
      <c r="C547" s="27"/>
      <c r="D547" s="27"/>
      <c r="E547" s="27"/>
      <c r="F547" s="27"/>
      <c r="G547" s="42"/>
      <c r="H547" s="43"/>
      <c r="I547" s="29"/>
      <c r="J547" s="29"/>
      <c r="K547" s="29"/>
      <c r="L547" s="29"/>
      <c r="M547" s="29"/>
      <c r="N547" s="44"/>
      <c r="O547" s="29"/>
      <c r="P547" s="29"/>
      <c r="Q547" s="29"/>
      <c r="R547" s="44"/>
      <c r="S547" s="29"/>
      <c r="T547" s="29"/>
    </row>
    <row r="548" spans="2:20" ht="18" x14ac:dyDescent="0.35">
      <c r="B548" s="27"/>
      <c r="C548" s="31">
        <v>24</v>
      </c>
      <c r="D548" s="31" t="s">
        <v>800</v>
      </c>
      <c r="E548" s="60"/>
      <c r="F548" s="60"/>
      <c r="G548" s="42"/>
      <c r="H548" s="43"/>
      <c r="I548" s="29"/>
      <c r="J548" s="29"/>
      <c r="K548" s="29"/>
      <c r="L548" s="29"/>
      <c r="M548" s="29"/>
      <c r="N548" s="44"/>
      <c r="O548" s="29"/>
      <c r="P548" s="29"/>
      <c r="Q548" s="29"/>
      <c r="R548" s="44"/>
      <c r="S548" s="29"/>
      <c r="T548" s="29"/>
    </row>
    <row r="549" spans="2:20" ht="15.6" x14ac:dyDescent="0.3">
      <c r="B549" s="27"/>
      <c r="C549" s="27"/>
      <c r="D549" s="27"/>
      <c r="E549" s="27"/>
      <c r="F549" s="27"/>
      <c r="G549" s="42"/>
      <c r="H549" s="43"/>
      <c r="I549" s="29"/>
      <c r="J549" s="29"/>
      <c r="K549" s="29"/>
      <c r="L549" s="29"/>
      <c r="M549" s="29"/>
      <c r="N549" s="44"/>
      <c r="O549" s="29"/>
      <c r="P549" s="29"/>
      <c r="Q549" s="29"/>
      <c r="R549" s="44"/>
      <c r="S549" s="29"/>
      <c r="T549" s="29"/>
    </row>
    <row r="550" spans="2:20" ht="15.6" x14ac:dyDescent="0.3">
      <c r="B550" s="32">
        <v>1</v>
      </c>
      <c r="C550" s="32" t="s">
        <v>801</v>
      </c>
      <c r="D550" s="33" t="s">
        <v>802</v>
      </c>
      <c r="E550" s="34">
        <v>45107</v>
      </c>
      <c r="F550" s="35">
        <v>180</v>
      </c>
      <c r="G550" s="36">
        <v>5</v>
      </c>
      <c r="H550" s="37">
        <f t="shared" ref="H550:H558" si="99">+F550/G550</f>
        <v>36</v>
      </c>
      <c r="I550" s="35">
        <v>4476.924</v>
      </c>
      <c r="J550" s="35">
        <v>6366.4359999999997</v>
      </c>
      <c r="K550" s="35">
        <v>5336.1180000000004</v>
      </c>
      <c r="L550" s="35">
        <v>77.168000000000006</v>
      </c>
      <c r="M550" s="35">
        <v>-32.603999999999999</v>
      </c>
      <c r="N550" s="37">
        <f t="shared" ref="N550:N558" si="100">+M550-O550</f>
        <v>11.679000000000002</v>
      </c>
      <c r="O550" s="35">
        <v>-44.283000000000001</v>
      </c>
      <c r="P550" s="38">
        <v>0</v>
      </c>
      <c r="Q550" s="38">
        <v>0</v>
      </c>
      <c r="R550" s="39">
        <f t="shared" ref="R550:R558" si="101">SUM(P550:Q550)</f>
        <v>0</v>
      </c>
      <c r="S550" s="38"/>
      <c r="T550" s="40">
        <v>3491</v>
      </c>
    </row>
    <row r="551" spans="2:20" ht="15.6" x14ac:dyDescent="0.3">
      <c r="B551" s="32">
        <f t="shared" ref="B551:B558" si="102">+B550+1</f>
        <v>2</v>
      </c>
      <c r="C551" s="32" t="s">
        <v>803</v>
      </c>
      <c r="D551" s="33" t="s">
        <v>804</v>
      </c>
      <c r="E551" s="34">
        <v>45107</v>
      </c>
      <c r="F551" s="35">
        <v>350.17034000000001</v>
      </c>
      <c r="G551" s="36">
        <v>10</v>
      </c>
      <c r="H551" s="37">
        <f t="shared" si="99"/>
        <v>35.017034000000002</v>
      </c>
      <c r="I551" s="35">
        <v>7252.3370000000004</v>
      </c>
      <c r="J551" s="35">
        <v>19910.314999999999</v>
      </c>
      <c r="K551" s="35">
        <v>41855.868000000002</v>
      </c>
      <c r="L551" s="35">
        <v>552.06600000000003</v>
      </c>
      <c r="M551" s="35">
        <v>3698.116</v>
      </c>
      <c r="N551" s="37">
        <f t="shared" si="100"/>
        <v>1496.8739999999998</v>
      </c>
      <c r="O551" s="35">
        <v>2201.2420000000002</v>
      </c>
      <c r="P551" s="38">
        <f>225+100</f>
        <v>325</v>
      </c>
      <c r="Q551" s="38">
        <v>0</v>
      </c>
      <c r="R551" s="39">
        <f t="shared" si="101"/>
        <v>325</v>
      </c>
      <c r="S551" s="38"/>
      <c r="T551" s="40">
        <v>2682</v>
      </c>
    </row>
    <row r="552" spans="2:20" ht="15.6" x14ac:dyDescent="0.3">
      <c r="B552" s="32">
        <f t="shared" si="102"/>
        <v>3</v>
      </c>
      <c r="C552" s="32" t="s">
        <v>805</v>
      </c>
      <c r="D552" s="33" t="s">
        <v>806</v>
      </c>
      <c r="E552" s="34">
        <v>45107</v>
      </c>
      <c r="F552" s="35">
        <v>133.3425</v>
      </c>
      <c r="G552" s="36">
        <v>10</v>
      </c>
      <c r="H552" s="37">
        <f t="shared" si="99"/>
        <v>13.334250000000001</v>
      </c>
      <c r="I552" s="35">
        <v>2055.971</v>
      </c>
      <c r="J552" s="35">
        <v>2357.6329999999998</v>
      </c>
      <c r="K552" s="35">
        <v>1675.857</v>
      </c>
      <c r="L552" s="35">
        <v>5.5590000000000002</v>
      </c>
      <c r="M552" s="35">
        <v>201.75200000000001</v>
      </c>
      <c r="N552" s="37">
        <f t="shared" si="100"/>
        <v>65.346000000000004</v>
      </c>
      <c r="O552" s="35">
        <v>136.40600000000001</v>
      </c>
      <c r="P552" s="38">
        <f>25+20+35</f>
        <v>80</v>
      </c>
      <c r="Q552" s="38">
        <v>0</v>
      </c>
      <c r="R552" s="39">
        <f t="shared" si="101"/>
        <v>80</v>
      </c>
      <c r="S552" s="38"/>
      <c r="T552" s="40">
        <v>1321</v>
      </c>
    </row>
    <row r="553" spans="2:20" ht="15.6" x14ac:dyDescent="0.3">
      <c r="B553" s="32">
        <f t="shared" si="102"/>
        <v>4</v>
      </c>
      <c r="C553" s="32" t="s">
        <v>807</v>
      </c>
      <c r="D553" s="33" t="s">
        <v>808</v>
      </c>
      <c r="E553" s="34">
        <v>45016</v>
      </c>
      <c r="F553" s="35">
        <v>77.686179999999993</v>
      </c>
      <c r="G553" s="36">
        <v>10</v>
      </c>
      <c r="H553" s="37">
        <f t="shared" si="99"/>
        <v>7.7686179999999991</v>
      </c>
      <c r="I553" s="35">
        <v>5100.25</v>
      </c>
      <c r="J553" s="35">
        <v>10185.573</v>
      </c>
      <c r="K553" s="35">
        <v>23402.183000000001</v>
      </c>
      <c r="L553" s="35">
        <v>417.23200000000003</v>
      </c>
      <c r="M553" s="35">
        <v>1152.4280000000001</v>
      </c>
      <c r="N553" s="37">
        <f t="shared" si="100"/>
        <v>397.8660000000001</v>
      </c>
      <c r="O553" s="35">
        <v>754.56200000000001</v>
      </c>
      <c r="P553" s="38">
        <v>100</v>
      </c>
      <c r="Q553" s="38">
        <v>0</v>
      </c>
      <c r="R553" s="39">
        <f t="shared" si="101"/>
        <v>100</v>
      </c>
      <c r="S553" s="38"/>
      <c r="T553" s="40">
        <v>2080</v>
      </c>
    </row>
    <row r="554" spans="2:20" ht="15.6" x14ac:dyDescent="0.3">
      <c r="B554" s="32">
        <f t="shared" si="102"/>
        <v>5</v>
      </c>
      <c r="C554" s="32" t="s">
        <v>809</v>
      </c>
      <c r="D554" s="33" t="s">
        <v>810</v>
      </c>
      <c r="E554" s="34">
        <v>45107</v>
      </c>
      <c r="F554" s="35">
        <v>1219.3335</v>
      </c>
      <c r="G554" s="36">
        <v>10</v>
      </c>
      <c r="H554" s="37">
        <f t="shared" si="99"/>
        <v>121.93334999999999</v>
      </c>
      <c r="I554" s="35">
        <v>5753.8770000000004</v>
      </c>
      <c r="J554" s="35">
        <v>18274.506000000001</v>
      </c>
      <c r="K554" s="35">
        <v>15018.659</v>
      </c>
      <c r="L554" s="35">
        <v>1291.806</v>
      </c>
      <c r="M554" s="35">
        <v>-193.61799999999999</v>
      </c>
      <c r="N554" s="37">
        <f t="shared" si="100"/>
        <v>-26.253999999999991</v>
      </c>
      <c r="O554" s="35">
        <v>-167.364</v>
      </c>
      <c r="P554" s="38">
        <v>0</v>
      </c>
      <c r="Q554" s="38">
        <v>0</v>
      </c>
      <c r="R554" s="39">
        <f t="shared" si="101"/>
        <v>0</v>
      </c>
      <c r="S554" s="38"/>
      <c r="T554" s="40">
        <v>4524</v>
      </c>
    </row>
    <row r="555" spans="2:20" ht="15.6" x14ac:dyDescent="0.3">
      <c r="B555" s="32">
        <f t="shared" si="102"/>
        <v>6</v>
      </c>
      <c r="C555" s="32" t="s">
        <v>811</v>
      </c>
      <c r="D555" s="33" t="s">
        <v>812</v>
      </c>
      <c r="E555" s="34">
        <v>45107</v>
      </c>
      <c r="F555" s="35">
        <f>251.25*G555</f>
        <v>2512.5</v>
      </c>
      <c r="G555" s="36">
        <v>10</v>
      </c>
      <c r="H555" s="37">
        <f t="shared" si="99"/>
        <v>251.25</v>
      </c>
      <c r="I555" s="35">
        <v>2970.3655450000001</v>
      </c>
      <c r="J555" s="35">
        <v>6487.4621520000001</v>
      </c>
      <c r="K555" s="35">
        <v>4493.8343709999999</v>
      </c>
      <c r="L555" s="35">
        <v>598.32963800000005</v>
      </c>
      <c r="M555" s="35">
        <v>-1772.181644</v>
      </c>
      <c r="N555" s="37">
        <f t="shared" si="100"/>
        <v>-516.51339299999995</v>
      </c>
      <c r="O555" s="35">
        <v>-1255.6682510000001</v>
      </c>
      <c r="P555" s="38">
        <v>0</v>
      </c>
      <c r="Q555" s="38">
        <v>0</v>
      </c>
      <c r="R555" s="39">
        <f t="shared" ref="R555" si="103">SUM(P555:Q555)</f>
        <v>0</v>
      </c>
      <c r="S555" s="38"/>
      <c r="T555" s="40">
        <v>9106</v>
      </c>
    </row>
    <row r="556" spans="2:20" ht="15.6" x14ac:dyDescent="0.3">
      <c r="B556" s="32">
        <f t="shared" si="102"/>
        <v>7</v>
      </c>
      <c r="C556" s="32" t="s">
        <v>813</v>
      </c>
      <c r="D556" s="33" t="s">
        <v>814</v>
      </c>
      <c r="E556" s="34">
        <v>45107</v>
      </c>
      <c r="F556" s="35">
        <v>1680</v>
      </c>
      <c r="G556" s="36">
        <v>10</v>
      </c>
      <c r="H556" s="37">
        <f t="shared" si="99"/>
        <v>168</v>
      </c>
      <c r="I556" s="35">
        <v>6643.0738769999998</v>
      </c>
      <c r="J556" s="35">
        <v>17946.051852000001</v>
      </c>
      <c r="K556" s="35">
        <v>21441.050079000001</v>
      </c>
      <c r="L556" s="35">
        <v>1048.511949</v>
      </c>
      <c r="M556" s="35">
        <v>645.87232100000006</v>
      </c>
      <c r="N556" s="37">
        <f t="shared" si="100"/>
        <v>213.07880400000005</v>
      </c>
      <c r="O556" s="35">
        <v>432.79351700000001</v>
      </c>
      <c r="P556" s="38">
        <f>20</f>
        <v>20</v>
      </c>
      <c r="Q556" s="38">
        <v>0</v>
      </c>
      <c r="R556" s="39">
        <f t="shared" ref="R556" si="104">SUM(P556:Q556)</f>
        <v>20</v>
      </c>
      <c r="S556" s="38"/>
      <c r="T556" s="40">
        <v>3955</v>
      </c>
    </row>
    <row r="557" spans="2:20" ht="15.6" x14ac:dyDescent="0.3">
      <c r="B557" s="32">
        <f t="shared" si="102"/>
        <v>8</v>
      </c>
      <c r="C557" s="32" t="s">
        <v>815</v>
      </c>
      <c r="D557" s="33" t="s">
        <v>816</v>
      </c>
      <c r="E557" s="34">
        <v>45107</v>
      </c>
      <c r="F557" s="35"/>
      <c r="G557" s="36">
        <v>10</v>
      </c>
      <c r="H557" s="37">
        <f t="shared" si="99"/>
        <v>0</v>
      </c>
      <c r="I557" s="35"/>
      <c r="J557" s="35"/>
      <c r="K557" s="35"/>
      <c r="L557" s="35"/>
      <c r="M557" s="35"/>
      <c r="N557" s="37">
        <f t="shared" si="100"/>
        <v>0</v>
      </c>
      <c r="O557" s="35"/>
      <c r="P557" s="38"/>
      <c r="Q557" s="38"/>
      <c r="R557" s="39">
        <f t="shared" ref="R557" si="105">SUM(P557:Q557)</f>
        <v>0</v>
      </c>
      <c r="S557" s="38"/>
      <c r="T557" s="40"/>
    </row>
    <row r="558" spans="2:20" ht="15.6" x14ac:dyDescent="0.3">
      <c r="B558" s="32">
        <f t="shared" si="102"/>
        <v>9</v>
      </c>
      <c r="C558" s="32" t="s">
        <v>817</v>
      </c>
      <c r="D558" s="33" t="s">
        <v>818</v>
      </c>
      <c r="E558" s="34">
        <v>45107</v>
      </c>
      <c r="F558" s="35">
        <f>81.029917*5</f>
        <v>405.149585</v>
      </c>
      <c r="G558" s="36">
        <v>5</v>
      </c>
      <c r="H558" s="37">
        <f t="shared" si="99"/>
        <v>81.029916999999998</v>
      </c>
      <c r="I558" s="35">
        <v>29605.43</v>
      </c>
      <c r="J558" s="35">
        <v>41604.639000000003</v>
      </c>
      <c r="K558" s="35">
        <v>31925.003000000001</v>
      </c>
      <c r="L558" s="35">
        <v>405.45100000000002</v>
      </c>
      <c r="M558" s="35">
        <v>4012.431</v>
      </c>
      <c r="N558" s="37">
        <f t="shared" si="100"/>
        <v>1261.672</v>
      </c>
      <c r="O558" s="35">
        <v>2750.759</v>
      </c>
      <c r="P558" s="38">
        <f>30+130</f>
        <v>160</v>
      </c>
      <c r="Q558" s="38">
        <v>0</v>
      </c>
      <c r="R558" s="39">
        <f t="shared" si="101"/>
        <v>160</v>
      </c>
      <c r="S558" s="38"/>
      <c r="T558" s="40">
        <v>4403</v>
      </c>
    </row>
    <row r="559" spans="2:20" ht="15.6" x14ac:dyDescent="0.3">
      <c r="B559" s="27"/>
      <c r="C559" s="27"/>
      <c r="D559" s="27"/>
      <c r="E559" s="27"/>
      <c r="F559" s="27"/>
      <c r="G559" s="42"/>
      <c r="H559" s="43"/>
      <c r="I559" s="29"/>
      <c r="J559" s="29"/>
      <c r="K559" s="29"/>
      <c r="L559" s="29"/>
      <c r="M559" s="29"/>
      <c r="N559" s="44"/>
      <c r="O559" s="29"/>
      <c r="P559" s="29"/>
      <c r="Q559" s="29"/>
      <c r="R559" s="44"/>
      <c r="S559" s="29"/>
      <c r="T559" s="29"/>
    </row>
    <row r="560" spans="2:20" ht="18" x14ac:dyDescent="0.35">
      <c r="B560" s="27"/>
      <c r="C560" s="27"/>
      <c r="D560" s="55" t="s">
        <v>43</v>
      </c>
      <c r="E560" s="27"/>
      <c r="F560" s="27"/>
      <c r="G560" s="42"/>
      <c r="H560" s="43"/>
      <c r="I560" s="29"/>
      <c r="J560" s="29"/>
      <c r="K560" s="29"/>
      <c r="L560" s="29"/>
      <c r="M560" s="29"/>
      <c r="N560" s="44"/>
      <c r="O560" s="29"/>
      <c r="P560" s="29"/>
      <c r="Q560" s="29"/>
      <c r="R560" s="44"/>
      <c r="S560" s="29"/>
      <c r="T560" s="29"/>
    </row>
    <row r="561" spans="2:20" ht="15.6" x14ac:dyDescent="0.3">
      <c r="B561" s="32">
        <v>1</v>
      </c>
      <c r="C561" s="32" t="s">
        <v>819</v>
      </c>
      <c r="D561" s="33" t="s">
        <v>820</v>
      </c>
      <c r="E561" s="34">
        <v>45107</v>
      </c>
      <c r="F561" s="35">
        <f>5.8*G561</f>
        <v>58</v>
      </c>
      <c r="G561" s="36">
        <v>10</v>
      </c>
      <c r="H561" s="37">
        <f>+F561/G561</f>
        <v>5.8</v>
      </c>
      <c r="I561" s="35">
        <v>114.30045</v>
      </c>
      <c r="J561" s="35">
        <v>246.448883</v>
      </c>
      <c r="K561" s="35">
        <v>0</v>
      </c>
      <c r="L561" s="35">
        <v>2.5000000000000001E-4</v>
      </c>
      <c r="M561" s="35">
        <v>-3.6785369999999999</v>
      </c>
      <c r="N561" s="37">
        <f>+M561-O561</f>
        <v>0</v>
      </c>
      <c r="O561" s="35">
        <v>-3.6785369999999999</v>
      </c>
      <c r="P561" s="38">
        <v>0</v>
      </c>
      <c r="Q561" s="38">
        <v>0</v>
      </c>
      <c r="R561" s="39">
        <f>SUM(P561:Q561)</f>
        <v>0</v>
      </c>
      <c r="S561" s="38"/>
      <c r="T561" s="40">
        <v>4906</v>
      </c>
    </row>
    <row r="562" spans="2:20" ht="15.6" x14ac:dyDescent="0.3">
      <c r="B562" s="32">
        <f>+B561+1</f>
        <v>2</v>
      </c>
      <c r="C562" s="32" t="s">
        <v>821</v>
      </c>
      <c r="D562" s="33" t="s">
        <v>822</v>
      </c>
      <c r="E562" s="34">
        <v>45107</v>
      </c>
      <c r="F562" s="35">
        <f>21.4*G562</f>
        <v>214</v>
      </c>
      <c r="G562" s="36">
        <v>10</v>
      </c>
      <c r="H562" s="37">
        <f>+F562/G562</f>
        <v>21.4</v>
      </c>
      <c r="I562" s="35">
        <v>-1456.6980000000001</v>
      </c>
      <c r="J562" s="35">
        <v>211.887</v>
      </c>
      <c r="K562" s="35">
        <v>0</v>
      </c>
      <c r="L562" s="35">
        <v>61.767000000000003</v>
      </c>
      <c r="M562" s="35">
        <v>-86.870999999999995</v>
      </c>
      <c r="N562" s="37">
        <f>+M562-O562</f>
        <v>-1.7849999999999966</v>
      </c>
      <c r="O562" s="35">
        <v>-85.085999999999999</v>
      </c>
      <c r="P562" s="38">
        <v>0</v>
      </c>
      <c r="Q562" s="38">
        <v>0</v>
      </c>
      <c r="R562" s="39">
        <f>SUM(P562:Q562)</f>
        <v>0</v>
      </c>
      <c r="S562" s="38"/>
      <c r="T562" s="40">
        <v>1157</v>
      </c>
    </row>
    <row r="563" spans="2:20" ht="15.6" x14ac:dyDescent="0.3">
      <c r="B563" s="27"/>
      <c r="C563" s="27"/>
      <c r="D563" s="27"/>
      <c r="E563" s="27"/>
      <c r="F563" s="27"/>
      <c r="G563" s="42"/>
      <c r="H563" s="43"/>
      <c r="I563" s="29"/>
      <c r="J563" s="29"/>
      <c r="K563" s="29"/>
      <c r="L563" s="29"/>
      <c r="M563" s="29"/>
      <c r="N563" s="44"/>
      <c r="O563" s="29"/>
      <c r="P563" s="29"/>
      <c r="Q563" s="29"/>
      <c r="R563" s="44"/>
      <c r="S563" s="29"/>
      <c r="T563" s="29"/>
    </row>
    <row r="564" spans="2:20" ht="15.6" x14ac:dyDescent="0.3">
      <c r="B564" s="46">
        <f>COUNT(B550:B563)</f>
        <v>11</v>
      </c>
      <c r="C564" s="46"/>
      <c r="D564" s="47"/>
      <c r="E564" s="47"/>
      <c r="F564" s="47">
        <f>SUM(F550:F563)</f>
        <v>6830.1821049999999</v>
      </c>
      <c r="G564" s="48"/>
      <c r="H564" s="49">
        <f t="shared" ref="H564:O564" si="106">SUM(H550:H563)</f>
        <v>741.53316899999982</v>
      </c>
      <c r="I564" s="47">
        <f t="shared" si="106"/>
        <v>62515.830872000006</v>
      </c>
      <c r="J564" s="47">
        <f t="shared" si="106"/>
        <v>123590.95188700002</v>
      </c>
      <c r="K564" s="47">
        <f t="shared" si="106"/>
        <v>145148.57245000001</v>
      </c>
      <c r="L564" s="47">
        <f t="shared" si="106"/>
        <v>4457.8908369999999</v>
      </c>
      <c r="M564" s="47">
        <f t="shared" si="106"/>
        <v>7621.6461399999998</v>
      </c>
      <c r="N564" s="50">
        <f t="shared" si="106"/>
        <v>2901.9634110000002</v>
      </c>
      <c r="O564" s="47">
        <f t="shared" si="106"/>
        <v>4719.6827290000001</v>
      </c>
      <c r="P564" s="51"/>
      <c r="Q564" s="51"/>
      <c r="R564" s="52"/>
      <c r="S564" s="51"/>
      <c r="T564" s="53">
        <f>SUM(T550:T563)</f>
        <v>37625</v>
      </c>
    </row>
    <row r="565" spans="2:20" ht="15.6" x14ac:dyDescent="0.3">
      <c r="B565" s="27"/>
      <c r="C565" s="27"/>
      <c r="D565" s="27"/>
      <c r="E565" s="27"/>
      <c r="F565" s="27"/>
      <c r="G565" s="42"/>
      <c r="H565" s="43"/>
      <c r="I565" s="29"/>
      <c r="J565" s="29"/>
      <c r="K565" s="29"/>
      <c r="L565" s="29"/>
      <c r="M565" s="29"/>
      <c r="N565" s="44"/>
      <c r="O565" s="29"/>
      <c r="P565" s="29"/>
      <c r="Q565" s="29"/>
      <c r="R565" s="44"/>
      <c r="S565" s="29"/>
      <c r="T565" s="29"/>
    </row>
    <row r="566" spans="2:20" ht="15.6" x14ac:dyDescent="0.3">
      <c r="B566" s="27"/>
      <c r="C566" s="27"/>
      <c r="D566" s="27"/>
      <c r="E566" s="27"/>
      <c r="F566" s="27"/>
      <c r="G566" s="42"/>
      <c r="H566" s="43"/>
      <c r="I566" s="29"/>
      <c r="J566" s="29"/>
      <c r="K566" s="29"/>
      <c r="L566" s="29"/>
      <c r="M566" s="29"/>
      <c r="N566" s="44"/>
      <c r="O566" s="29"/>
      <c r="P566" s="29"/>
      <c r="Q566" s="29"/>
      <c r="R566" s="44"/>
      <c r="S566" s="29"/>
      <c r="T566" s="29"/>
    </row>
    <row r="567" spans="2:20" ht="18" x14ac:dyDescent="0.35">
      <c r="B567" s="27"/>
      <c r="C567" s="31">
        <v>25</v>
      </c>
      <c r="D567" s="31" t="s">
        <v>823</v>
      </c>
      <c r="E567" s="60"/>
      <c r="F567" s="60"/>
      <c r="G567" s="42"/>
      <c r="H567" s="43"/>
      <c r="I567" s="29"/>
      <c r="J567" s="29"/>
      <c r="K567" s="29"/>
      <c r="L567" s="29"/>
      <c r="M567" s="29"/>
      <c r="N567" s="44"/>
      <c r="O567" s="29"/>
      <c r="P567" s="29"/>
      <c r="Q567" s="29"/>
      <c r="R567" s="44"/>
      <c r="S567" s="29"/>
      <c r="T567" s="29"/>
    </row>
    <row r="568" spans="2:20" ht="15.6" x14ac:dyDescent="0.3">
      <c r="B568" s="27"/>
      <c r="C568" s="27"/>
      <c r="D568" s="27"/>
      <c r="E568" s="27"/>
      <c r="F568" s="27"/>
      <c r="G568" s="42"/>
      <c r="H568" s="43"/>
      <c r="I568" s="29"/>
      <c r="J568" s="29"/>
      <c r="K568" s="29"/>
      <c r="L568" s="29"/>
      <c r="M568" s="29"/>
      <c r="N568" s="44"/>
      <c r="O568" s="29"/>
      <c r="P568" s="29"/>
      <c r="Q568" s="29"/>
      <c r="R568" s="44"/>
      <c r="S568" s="29"/>
      <c r="T568" s="29"/>
    </row>
    <row r="569" spans="2:20" ht="15.6" x14ac:dyDescent="0.3">
      <c r="B569" s="32">
        <v>1</v>
      </c>
      <c r="C569" s="32" t="s">
        <v>824</v>
      </c>
      <c r="D569" s="33" t="s">
        <v>825</v>
      </c>
      <c r="E569" s="34">
        <v>45107</v>
      </c>
      <c r="F569" s="35">
        <v>350</v>
      </c>
      <c r="G569" s="36">
        <v>10</v>
      </c>
      <c r="H569" s="37">
        <f t="shared" ref="H569:H574" si="107">+F569/G569</f>
        <v>35</v>
      </c>
      <c r="I569" s="35">
        <v>2785.273416</v>
      </c>
      <c r="J569" s="35">
        <v>5338.6617349999997</v>
      </c>
      <c r="K569" s="35">
        <v>3545.5240140000001</v>
      </c>
      <c r="L569" s="35">
        <v>247.99164500000001</v>
      </c>
      <c r="M569" s="35">
        <v>419.94632000000001</v>
      </c>
      <c r="N569" s="37">
        <f t="shared" ref="N569:N575" si="108">+M569-O569</f>
        <v>127.03040300000004</v>
      </c>
      <c r="O569" s="35">
        <v>292.91591699999998</v>
      </c>
      <c r="P569" s="38">
        <v>5</v>
      </c>
      <c r="Q569" s="38">
        <v>0</v>
      </c>
      <c r="R569" s="39">
        <f t="shared" ref="R569:R574" si="109">SUM(P569:Q569)</f>
        <v>5</v>
      </c>
      <c r="S569" s="38"/>
      <c r="T569" s="40">
        <v>740</v>
      </c>
    </row>
    <row r="570" spans="2:20" ht="15.6" x14ac:dyDescent="0.3">
      <c r="B570" s="32">
        <f>+B569+1</f>
        <v>2</v>
      </c>
      <c r="C570" s="32" t="s">
        <v>826</v>
      </c>
      <c r="D570" s="33" t="s">
        <v>827</v>
      </c>
      <c r="E570" s="34">
        <v>45107</v>
      </c>
      <c r="F570" s="35">
        <f>5.45*G570</f>
        <v>54.5</v>
      </c>
      <c r="G570" s="36">
        <v>10</v>
      </c>
      <c r="H570" s="37">
        <f>+F570/G570</f>
        <v>5.45</v>
      </c>
      <c r="I570" s="35">
        <v>387.71600000000001</v>
      </c>
      <c r="J570" s="35">
        <v>770.72</v>
      </c>
      <c r="K570" s="35">
        <v>2.7989999999999999</v>
      </c>
      <c r="L570" s="35">
        <v>0</v>
      </c>
      <c r="M570" s="35">
        <v>-24.875</v>
      </c>
      <c r="N570" s="37">
        <f t="shared" si="108"/>
        <v>-4.4319999999999986</v>
      </c>
      <c r="O570" s="35">
        <v>-20.443000000000001</v>
      </c>
      <c r="P570" s="38">
        <v>0</v>
      </c>
      <c r="Q570" s="38">
        <v>0</v>
      </c>
      <c r="R570" s="39">
        <f>SUM(P570:Q570)</f>
        <v>0</v>
      </c>
      <c r="S570" s="38"/>
      <c r="T570" s="40">
        <v>1116</v>
      </c>
    </row>
    <row r="571" spans="2:20" ht="15.6" x14ac:dyDescent="0.3">
      <c r="B571" s="32">
        <f>+B570+1</f>
        <v>3</v>
      </c>
      <c r="C571" s="59" t="s">
        <v>828</v>
      </c>
      <c r="D571" s="33" t="s">
        <v>829</v>
      </c>
      <c r="E571" s="34">
        <v>45291</v>
      </c>
      <c r="F571" s="35">
        <v>8560.1215499999998</v>
      </c>
      <c r="G571" s="36">
        <v>10</v>
      </c>
      <c r="H571" s="37">
        <f t="shared" si="107"/>
        <v>856.01215500000001</v>
      </c>
      <c r="I571" s="35">
        <v>41425.211000000003</v>
      </c>
      <c r="J571" s="35">
        <v>66357.865000000005</v>
      </c>
      <c r="K571" s="35"/>
      <c r="L571" s="35"/>
      <c r="M571" s="35">
        <v>3303.8249999999998</v>
      </c>
      <c r="N571" s="37">
        <f t="shared" si="108"/>
        <v>1978.7359999999999</v>
      </c>
      <c r="O571" s="35">
        <v>1325.0889999999999</v>
      </c>
      <c r="P571" s="38">
        <v>0</v>
      </c>
      <c r="Q571" s="38">
        <v>0</v>
      </c>
      <c r="R571" s="39">
        <f t="shared" si="109"/>
        <v>0</v>
      </c>
      <c r="S571" s="38"/>
      <c r="T571" s="40"/>
    </row>
    <row r="572" spans="2:20" ht="15.6" x14ac:dyDescent="0.3">
      <c r="B572" s="32">
        <f t="shared" ref="B572:B575" si="110">+B571+1</f>
        <v>4</v>
      </c>
      <c r="C572" s="32" t="s">
        <v>830</v>
      </c>
      <c r="D572" s="33" t="s">
        <v>831</v>
      </c>
      <c r="E572" s="34">
        <v>45107</v>
      </c>
      <c r="F572" s="35">
        <v>495.06743999999998</v>
      </c>
      <c r="G572" s="36">
        <v>10</v>
      </c>
      <c r="H572" s="37">
        <f t="shared" si="107"/>
        <v>49.506743999999998</v>
      </c>
      <c r="I572" s="35">
        <v>9494.0660000000007</v>
      </c>
      <c r="J572" s="35">
        <v>23394.625</v>
      </c>
      <c r="K572" s="35">
        <v>21652.953000000001</v>
      </c>
      <c r="L572" s="35">
        <v>954.18499999999995</v>
      </c>
      <c r="M572" s="35">
        <v>1130.4169999999999</v>
      </c>
      <c r="N572" s="37">
        <f t="shared" si="108"/>
        <v>406.76599999999996</v>
      </c>
      <c r="O572" s="35">
        <v>723.65099999999995</v>
      </c>
      <c r="P572" s="38">
        <v>0</v>
      </c>
      <c r="Q572" s="38">
        <f>10+10</f>
        <v>20</v>
      </c>
      <c r="R572" s="39">
        <f t="shared" si="109"/>
        <v>20</v>
      </c>
      <c r="S572" s="38"/>
      <c r="T572" s="40">
        <v>2601</v>
      </c>
    </row>
    <row r="573" spans="2:20" ht="15.6" x14ac:dyDescent="0.3">
      <c r="B573" s="32">
        <f t="shared" si="110"/>
        <v>5</v>
      </c>
      <c r="C573" s="32" t="s">
        <v>832</v>
      </c>
      <c r="D573" s="33" t="s">
        <v>833</v>
      </c>
      <c r="E573" s="34">
        <v>45199</v>
      </c>
      <c r="F573" s="35">
        <f>8.247037*G573</f>
        <v>82.470370000000003</v>
      </c>
      <c r="G573" s="36">
        <v>10</v>
      </c>
      <c r="H573" s="37">
        <f t="shared" si="107"/>
        <v>8.2470370000000006</v>
      </c>
      <c r="I573" s="35">
        <v>7789.4470000000001</v>
      </c>
      <c r="J573" s="35">
        <v>38850.976000000002</v>
      </c>
      <c r="K573" s="35">
        <f>29351.725+3093.691</f>
        <v>32445.415999999997</v>
      </c>
      <c r="L573" s="35">
        <v>329.26</v>
      </c>
      <c r="M573" s="35">
        <f>2269.418-445.832</f>
        <v>1823.5860000000002</v>
      </c>
      <c r="N573" s="37">
        <f t="shared" si="108"/>
        <v>852.74200000000019</v>
      </c>
      <c r="O573" s="35">
        <v>970.84400000000005</v>
      </c>
      <c r="P573" s="38">
        <v>0</v>
      </c>
      <c r="Q573" s="38">
        <v>0</v>
      </c>
      <c r="R573" s="39">
        <f t="shared" si="109"/>
        <v>0</v>
      </c>
      <c r="S573" s="38"/>
      <c r="T573" s="40">
        <v>1494</v>
      </c>
    </row>
    <row r="574" spans="2:20" ht="15.6" x14ac:dyDescent="0.3">
      <c r="B574" s="32">
        <f t="shared" si="110"/>
        <v>6</v>
      </c>
      <c r="C574" s="59" t="s">
        <v>834</v>
      </c>
      <c r="D574" s="33" t="s">
        <v>835</v>
      </c>
      <c r="E574" s="34">
        <v>45291</v>
      </c>
      <c r="F574" s="35">
        <v>2814.0619999999999</v>
      </c>
      <c r="G574" s="36">
        <v>10</v>
      </c>
      <c r="H574" s="37">
        <f t="shared" si="107"/>
        <v>281.40620000000001</v>
      </c>
      <c r="I574" s="35">
        <v>8351.5470000000005</v>
      </c>
      <c r="J574" s="35">
        <v>10966.201999999999</v>
      </c>
      <c r="K574" s="35">
        <v>0</v>
      </c>
      <c r="L574" s="35">
        <v>54.357999999999997</v>
      </c>
      <c r="M574" s="35">
        <v>159.571</v>
      </c>
      <c r="N574" s="37">
        <f t="shared" si="108"/>
        <v>11.384999999999991</v>
      </c>
      <c r="O574" s="35">
        <v>148.18600000000001</v>
      </c>
      <c r="P574" s="38">
        <v>0</v>
      </c>
      <c r="Q574" s="38">
        <v>0</v>
      </c>
      <c r="R574" s="39">
        <f t="shared" si="109"/>
        <v>0</v>
      </c>
      <c r="S574" s="38"/>
      <c r="T574" s="40">
        <v>6980</v>
      </c>
    </row>
    <row r="575" spans="2:20" ht="15.6" x14ac:dyDescent="0.3">
      <c r="B575" s="32">
        <f t="shared" si="110"/>
        <v>7</v>
      </c>
      <c r="C575" s="59" t="s">
        <v>836</v>
      </c>
      <c r="D575" s="45" t="s">
        <v>837</v>
      </c>
      <c r="E575" s="34">
        <v>45291</v>
      </c>
      <c r="F575" s="35">
        <v>2678.8530700000001</v>
      </c>
      <c r="G575" s="36">
        <v>10</v>
      </c>
      <c r="H575" s="37">
        <f>+F575/G575</f>
        <v>267.88530700000001</v>
      </c>
      <c r="I575" s="35">
        <v>7614.6530000000002</v>
      </c>
      <c r="J575" s="35">
        <v>17298.395</v>
      </c>
      <c r="K575" s="35">
        <v>4176.1189999999997</v>
      </c>
      <c r="L575" s="35">
        <v>373.72</v>
      </c>
      <c r="M575" s="35">
        <v>142.71100000000001</v>
      </c>
      <c r="N575" s="37">
        <f t="shared" si="108"/>
        <v>26.994000000000014</v>
      </c>
      <c r="O575" s="35">
        <v>115.717</v>
      </c>
      <c r="P575" s="38">
        <v>0</v>
      </c>
      <c r="Q575" s="38">
        <v>0</v>
      </c>
      <c r="R575" s="39">
        <f>SUM(P575:Q575)</f>
        <v>0</v>
      </c>
      <c r="S575" s="38"/>
      <c r="T575" s="40">
        <v>5385</v>
      </c>
    </row>
    <row r="576" spans="2:20" ht="15.6" x14ac:dyDescent="0.3">
      <c r="B576" s="62"/>
      <c r="C576" s="61"/>
      <c r="D576" s="63"/>
      <c r="E576" s="64"/>
      <c r="F576" s="65"/>
      <c r="G576" s="42"/>
      <c r="H576" s="66"/>
      <c r="I576" s="65"/>
      <c r="J576" s="65"/>
      <c r="K576" s="65"/>
      <c r="L576" s="65"/>
      <c r="M576" s="65"/>
      <c r="N576" s="66"/>
      <c r="O576" s="65"/>
      <c r="P576" s="67"/>
      <c r="Q576" s="67"/>
      <c r="R576" s="68"/>
      <c r="S576" s="67"/>
      <c r="T576" s="69"/>
    </row>
    <row r="577" spans="2:20" ht="15.6" x14ac:dyDescent="0.3">
      <c r="B577" s="46">
        <f>COUNT(B569:B576)</f>
        <v>7</v>
      </c>
      <c r="C577" s="46"/>
      <c r="D577" s="47"/>
      <c r="E577" s="47"/>
      <c r="F577" s="47">
        <f>SUM(F569:F576)</f>
        <v>15035.074430000001</v>
      </c>
      <c r="G577" s="48"/>
      <c r="H577" s="49">
        <f t="shared" ref="H577:O577" si="111">SUM(H569:H576)</f>
        <v>1503.507443</v>
      </c>
      <c r="I577" s="47">
        <f t="shared" si="111"/>
        <v>77847.91341600001</v>
      </c>
      <c r="J577" s="47">
        <f t="shared" si="111"/>
        <v>162977.444735</v>
      </c>
      <c r="K577" s="47">
        <f t="shared" si="111"/>
        <v>61822.811013999999</v>
      </c>
      <c r="L577" s="47">
        <f t="shared" si="111"/>
        <v>1959.514645</v>
      </c>
      <c r="M577" s="47">
        <f t="shared" si="111"/>
        <v>6955.1813199999997</v>
      </c>
      <c r="N577" s="50">
        <f t="shared" si="111"/>
        <v>3399.221403</v>
      </c>
      <c r="O577" s="47">
        <f t="shared" si="111"/>
        <v>3555.9599170000001</v>
      </c>
      <c r="P577" s="51"/>
      <c r="Q577" s="51"/>
      <c r="R577" s="52"/>
      <c r="S577" s="51"/>
      <c r="T577" s="53">
        <f>SUM(T569:T576)</f>
        <v>18316</v>
      </c>
    </row>
    <row r="578" spans="2:20" ht="15.6" x14ac:dyDescent="0.3">
      <c r="B578" s="27"/>
      <c r="C578" s="27"/>
      <c r="D578" s="27"/>
      <c r="E578" s="27"/>
      <c r="F578" s="27"/>
      <c r="G578" s="42"/>
      <c r="H578" s="43"/>
      <c r="I578" s="29"/>
      <c r="J578" s="29"/>
      <c r="K578" s="29"/>
      <c r="L578" s="29"/>
      <c r="M578" s="29"/>
      <c r="N578" s="44"/>
      <c r="O578" s="29"/>
      <c r="P578" s="29"/>
      <c r="Q578" s="29"/>
      <c r="R578" s="44"/>
      <c r="S578" s="29"/>
      <c r="T578" s="29"/>
    </row>
    <row r="579" spans="2:20" ht="15.6" x14ac:dyDescent="0.3">
      <c r="B579" s="27"/>
      <c r="C579" s="27"/>
      <c r="D579" s="27"/>
      <c r="E579" s="27"/>
      <c r="F579" s="27"/>
      <c r="G579" s="42"/>
      <c r="H579" s="43"/>
      <c r="I579" s="29"/>
      <c r="J579" s="29"/>
      <c r="K579" s="29"/>
      <c r="L579" s="29"/>
      <c r="M579" s="29"/>
      <c r="N579" s="44"/>
      <c r="O579" s="29"/>
      <c r="P579" s="29"/>
      <c r="Q579" s="29"/>
      <c r="R579" s="44"/>
      <c r="S579" s="29"/>
      <c r="T579" s="29"/>
    </row>
    <row r="580" spans="2:20" ht="18" x14ac:dyDescent="0.35">
      <c r="B580" s="27"/>
      <c r="C580" s="31">
        <v>26</v>
      </c>
      <c r="D580" s="31" t="s">
        <v>838</v>
      </c>
      <c r="E580" s="60"/>
      <c r="F580" s="60"/>
      <c r="G580" s="42"/>
      <c r="H580" s="43"/>
      <c r="I580" s="29"/>
      <c r="J580" s="29"/>
      <c r="K580" s="29"/>
      <c r="L580" s="29"/>
      <c r="M580" s="29"/>
      <c r="N580" s="44"/>
      <c r="O580" s="29"/>
      <c r="P580" s="29"/>
      <c r="Q580" s="29"/>
      <c r="R580" s="44"/>
      <c r="S580" s="29"/>
      <c r="T580" s="29"/>
    </row>
    <row r="581" spans="2:20" ht="15.6" x14ac:dyDescent="0.3">
      <c r="B581" s="27"/>
      <c r="C581" s="27"/>
      <c r="D581" s="27"/>
      <c r="E581" s="27"/>
      <c r="F581" s="27"/>
      <c r="G581" s="42"/>
      <c r="H581" s="43"/>
      <c r="I581" s="29"/>
      <c r="J581" s="29"/>
      <c r="K581" s="29"/>
      <c r="L581" s="29"/>
      <c r="M581" s="29"/>
      <c r="N581" s="44"/>
      <c r="O581" s="29"/>
      <c r="P581" s="29"/>
      <c r="Q581" s="29"/>
      <c r="R581" s="44"/>
      <c r="S581" s="29"/>
      <c r="T581" s="29"/>
    </row>
    <row r="582" spans="2:20" ht="15.6" x14ac:dyDescent="0.3">
      <c r="B582" s="59">
        <v>1</v>
      </c>
      <c r="C582" s="59" t="s">
        <v>839</v>
      </c>
      <c r="D582" s="45" t="s">
        <v>840</v>
      </c>
      <c r="E582" s="34">
        <v>45107</v>
      </c>
      <c r="F582" s="78">
        <f>72.1052*G582</f>
        <v>721.05199999999991</v>
      </c>
      <c r="G582" s="79">
        <v>10</v>
      </c>
      <c r="H582" s="80">
        <f>+F582/G582</f>
        <v>72.105199999999996</v>
      </c>
      <c r="I582" s="78">
        <v>536.83627200000001</v>
      </c>
      <c r="J582" s="78">
        <v>629.07705999999996</v>
      </c>
      <c r="K582" s="78">
        <v>56.053305999999999</v>
      </c>
      <c r="L582" s="78">
        <v>4.468483</v>
      </c>
      <c r="M582" s="78">
        <v>33.752707000000001</v>
      </c>
      <c r="N582" s="80">
        <f>+M582-O582</f>
        <v>2.5250160000000008</v>
      </c>
      <c r="O582" s="78">
        <v>31.227691</v>
      </c>
      <c r="P582" s="81">
        <v>0</v>
      </c>
      <c r="Q582" s="81">
        <v>0</v>
      </c>
      <c r="R582" s="82">
        <f>SUM(P582:Q582)</f>
        <v>0</v>
      </c>
      <c r="S582" s="81"/>
      <c r="T582" s="83">
        <v>1776</v>
      </c>
    </row>
    <row r="583" spans="2:20" ht="15.6" x14ac:dyDescent="0.3">
      <c r="B583" s="59">
        <f>+B582+1</f>
        <v>2</v>
      </c>
      <c r="C583" s="59" t="s">
        <v>841</v>
      </c>
      <c r="D583" s="33" t="s">
        <v>842</v>
      </c>
      <c r="E583" s="34">
        <v>45291</v>
      </c>
      <c r="F583" s="35"/>
      <c r="G583" s="36">
        <v>10</v>
      </c>
      <c r="H583" s="37">
        <f>+F583/G583</f>
        <v>0</v>
      </c>
      <c r="I583" s="35"/>
      <c r="J583" s="35"/>
      <c r="K583" s="35"/>
      <c r="L583" s="35"/>
      <c r="M583" s="35"/>
      <c r="N583" s="37">
        <f>+M583-O583</f>
        <v>0</v>
      </c>
      <c r="O583" s="35"/>
      <c r="P583" s="38"/>
      <c r="Q583" s="38"/>
      <c r="R583" s="39">
        <f>SUM(P583:Q583)</f>
        <v>0</v>
      </c>
      <c r="S583" s="38"/>
      <c r="T583" s="40"/>
    </row>
    <row r="584" spans="2:20" ht="15.6" x14ac:dyDescent="0.3">
      <c r="B584" s="59">
        <f t="shared" ref="B584:B586" si="112">+B583+1</f>
        <v>3</v>
      </c>
      <c r="C584" s="32" t="s">
        <v>843</v>
      </c>
      <c r="D584" s="33" t="s">
        <v>844</v>
      </c>
      <c r="E584" s="34">
        <v>45107</v>
      </c>
      <c r="F584" s="35">
        <f>1786.092772*G584</f>
        <v>17860.92772</v>
      </c>
      <c r="G584" s="36">
        <v>10</v>
      </c>
      <c r="H584" s="37">
        <f>+F584/G584</f>
        <v>1786.092772</v>
      </c>
      <c r="I584" s="35">
        <v>16180.311</v>
      </c>
      <c r="J584" s="35">
        <v>32674.49</v>
      </c>
      <c r="K584" s="35">
        <v>9072.6990000000005</v>
      </c>
      <c r="L584" s="35">
        <v>2013.644</v>
      </c>
      <c r="M584" s="35">
        <v>-3128.3420000000001</v>
      </c>
      <c r="N584" s="37">
        <f>+M584-O584</f>
        <v>-972.70200000000023</v>
      </c>
      <c r="O584" s="35">
        <v>-2155.64</v>
      </c>
      <c r="P584" s="38">
        <v>0</v>
      </c>
      <c r="Q584" s="38">
        <v>0</v>
      </c>
      <c r="R584" s="39">
        <f>SUM(P584:Q584)</f>
        <v>0</v>
      </c>
      <c r="S584" s="38"/>
      <c r="T584" s="40">
        <v>20104</v>
      </c>
    </row>
    <row r="585" spans="2:20" ht="15.6" x14ac:dyDescent="0.3">
      <c r="B585" s="59">
        <f t="shared" si="112"/>
        <v>4</v>
      </c>
      <c r="C585" s="32" t="s">
        <v>845</v>
      </c>
      <c r="D585" s="33" t="s">
        <v>846</v>
      </c>
      <c r="E585" s="34">
        <v>45291</v>
      </c>
      <c r="F585" s="35">
        <v>1091.53152</v>
      </c>
      <c r="G585" s="36">
        <v>10</v>
      </c>
      <c r="H585" s="37">
        <f>+F585/G585</f>
        <v>109.15315200000001</v>
      </c>
      <c r="I585" s="35"/>
      <c r="J585" s="35"/>
      <c r="K585" s="35"/>
      <c r="L585" s="35"/>
      <c r="M585" s="35"/>
      <c r="N585" s="37">
        <f>+M585-O585</f>
        <v>0</v>
      </c>
      <c r="O585" s="35"/>
      <c r="P585" s="38">
        <f>200</f>
        <v>200</v>
      </c>
      <c r="Q585" s="38"/>
      <c r="R585" s="39">
        <f>SUM(P585:Q585)</f>
        <v>200</v>
      </c>
      <c r="S585" s="38"/>
      <c r="T585" s="40"/>
    </row>
    <row r="586" spans="2:20" ht="15.6" x14ac:dyDescent="0.3">
      <c r="B586" s="59">
        <f t="shared" si="112"/>
        <v>5</v>
      </c>
      <c r="C586" s="32" t="s">
        <v>847</v>
      </c>
      <c r="D586" s="33" t="s">
        <v>848</v>
      </c>
      <c r="E586" s="34">
        <v>45107</v>
      </c>
      <c r="F586" s="35">
        <v>1320.6335999999999</v>
      </c>
      <c r="G586" s="36">
        <v>10</v>
      </c>
      <c r="H586" s="37">
        <f>+F586/G586</f>
        <v>132.06335999999999</v>
      </c>
      <c r="I586" s="35">
        <v>15706.563</v>
      </c>
      <c r="J586" s="35">
        <v>91077.421000000002</v>
      </c>
      <c r="K586" s="35">
        <v>12006.027</v>
      </c>
      <c r="L586" s="35">
        <v>1402.0930000000001</v>
      </c>
      <c r="M586" s="35">
        <v>6109.3670000000002</v>
      </c>
      <c r="N586" s="37">
        <f>+M586-O586</f>
        <v>1275.2889999999998</v>
      </c>
      <c r="O586" s="35">
        <v>4834.0780000000004</v>
      </c>
      <c r="P586" s="38">
        <f>50+150</f>
        <v>200</v>
      </c>
      <c r="Q586" s="38">
        <v>0</v>
      </c>
      <c r="R586" s="39">
        <f>SUM(P586:Q586)</f>
        <v>200</v>
      </c>
      <c r="S586" s="38"/>
      <c r="T586" s="40">
        <v>16028</v>
      </c>
    </row>
    <row r="587" spans="2:20" ht="15.6" x14ac:dyDescent="0.3">
      <c r="B587" s="27"/>
      <c r="C587" s="27"/>
      <c r="D587" s="27"/>
      <c r="E587" s="27"/>
      <c r="F587" s="27"/>
      <c r="G587" s="42"/>
      <c r="H587" s="43"/>
      <c r="I587" s="29"/>
      <c r="J587" s="29"/>
      <c r="K587" s="29"/>
      <c r="L587" s="29"/>
      <c r="M587" s="29"/>
      <c r="N587" s="44"/>
      <c r="O587" s="29"/>
      <c r="P587" s="29"/>
      <c r="Q587" s="29"/>
      <c r="R587" s="44"/>
      <c r="S587" s="29"/>
      <c r="T587" s="29"/>
    </row>
    <row r="588" spans="2:20" ht="15.6" x14ac:dyDescent="0.3">
      <c r="B588" s="46">
        <f>COUNT(B582:B587)</f>
        <v>5</v>
      </c>
      <c r="C588" s="46"/>
      <c r="D588" s="47"/>
      <c r="E588" s="47"/>
      <c r="F588" s="47">
        <f>SUM(F582:F587)</f>
        <v>20994.144840000001</v>
      </c>
      <c r="G588" s="48"/>
      <c r="H588" s="49">
        <f t="shared" ref="H588:O588" si="113">SUM(H582:H587)</f>
        <v>2099.4144839999999</v>
      </c>
      <c r="I588" s="47">
        <f t="shared" si="113"/>
        <v>32423.710271999997</v>
      </c>
      <c r="J588" s="47">
        <f t="shared" si="113"/>
        <v>124380.98806</v>
      </c>
      <c r="K588" s="47">
        <f t="shared" si="113"/>
        <v>21134.779306</v>
      </c>
      <c r="L588" s="47">
        <f t="shared" si="113"/>
        <v>3420.2054830000002</v>
      </c>
      <c r="M588" s="47">
        <f t="shared" si="113"/>
        <v>3014.7777070000002</v>
      </c>
      <c r="N588" s="50">
        <f t="shared" si="113"/>
        <v>305.11201599999958</v>
      </c>
      <c r="O588" s="47">
        <f t="shared" si="113"/>
        <v>2709.6656910000006</v>
      </c>
      <c r="P588" s="51"/>
      <c r="Q588" s="51"/>
      <c r="R588" s="52"/>
      <c r="S588" s="51"/>
      <c r="T588" s="53">
        <f>SUM(T582:T587)</f>
        <v>37908</v>
      </c>
    </row>
    <row r="589" spans="2:20" ht="15.6" x14ac:dyDescent="0.3">
      <c r="B589" s="27"/>
      <c r="C589" s="27"/>
      <c r="D589" s="27"/>
      <c r="E589" s="27"/>
      <c r="F589" s="27"/>
      <c r="G589" s="42"/>
      <c r="H589" s="43"/>
      <c r="I589" s="29"/>
      <c r="J589" s="29"/>
      <c r="K589" s="29"/>
      <c r="L589" s="29"/>
      <c r="M589" s="29"/>
      <c r="N589" s="44"/>
      <c r="O589" s="29"/>
      <c r="P589" s="29"/>
      <c r="Q589" s="29"/>
      <c r="R589" s="44"/>
      <c r="S589" s="29"/>
      <c r="T589" s="29"/>
    </row>
    <row r="590" spans="2:20" ht="15.6" x14ac:dyDescent="0.3">
      <c r="B590" s="27"/>
      <c r="C590" s="27"/>
      <c r="D590" s="27"/>
      <c r="E590" s="27"/>
      <c r="F590" s="27"/>
      <c r="G590" s="42"/>
      <c r="H590" s="43"/>
      <c r="I590" s="29"/>
      <c r="J590" s="29"/>
      <c r="K590" s="29"/>
      <c r="L590" s="29"/>
      <c r="M590" s="29"/>
      <c r="N590" s="44"/>
      <c r="O590" s="29"/>
      <c r="P590" s="29"/>
      <c r="Q590" s="29"/>
      <c r="R590" s="44"/>
      <c r="S590" s="29"/>
      <c r="T590" s="29"/>
    </row>
    <row r="591" spans="2:20" ht="18" x14ac:dyDescent="0.35">
      <c r="B591" s="27"/>
      <c r="C591" s="31">
        <v>27</v>
      </c>
      <c r="D591" s="31" t="s">
        <v>849</v>
      </c>
      <c r="E591" s="60"/>
      <c r="F591" s="60"/>
      <c r="G591" s="42"/>
      <c r="H591" s="43"/>
      <c r="I591" s="29"/>
      <c r="J591" s="29"/>
      <c r="K591" s="29"/>
      <c r="L591" s="29"/>
      <c r="M591" s="29"/>
      <c r="N591" s="44"/>
      <c r="O591" s="29"/>
      <c r="P591" s="29"/>
      <c r="Q591" s="29"/>
      <c r="R591" s="44"/>
      <c r="S591" s="29"/>
      <c r="T591" s="29"/>
    </row>
    <row r="592" spans="2:20" ht="15.6" x14ac:dyDescent="0.3">
      <c r="B592" s="27"/>
      <c r="C592" s="27"/>
      <c r="D592" s="27"/>
      <c r="E592" s="27"/>
      <c r="F592" s="27"/>
      <c r="G592" s="42"/>
      <c r="H592" s="43"/>
      <c r="I592" s="29"/>
      <c r="J592" s="29"/>
      <c r="K592" s="29"/>
      <c r="L592" s="29"/>
      <c r="M592" s="29"/>
      <c r="N592" s="44"/>
      <c r="O592" s="29"/>
      <c r="P592" s="29"/>
      <c r="Q592" s="29"/>
      <c r="R592" s="44"/>
      <c r="S592" s="29"/>
      <c r="T592" s="29"/>
    </row>
    <row r="593" spans="2:20" ht="15.6" x14ac:dyDescent="0.3">
      <c r="B593" s="32">
        <v>1</v>
      </c>
      <c r="C593" s="32" t="s">
        <v>850</v>
      </c>
      <c r="D593" s="33" t="s">
        <v>851</v>
      </c>
      <c r="E593" s="34">
        <v>45291</v>
      </c>
      <c r="F593" s="35">
        <v>3762.9780000000001</v>
      </c>
      <c r="G593" s="36">
        <v>10</v>
      </c>
      <c r="H593" s="37">
        <f t="shared" ref="H593:H608" si="114">+F593/G593</f>
        <v>376.2978</v>
      </c>
      <c r="I593" s="35">
        <v>7827.3620000000001</v>
      </c>
      <c r="J593" s="35">
        <v>10550.683000000001</v>
      </c>
      <c r="K593" s="35">
        <v>2857.5940000000001</v>
      </c>
      <c r="L593" s="35">
        <v>212.851</v>
      </c>
      <c r="M593" s="35">
        <v>1737.3</v>
      </c>
      <c r="N593" s="37">
        <f t="shared" ref="N593:N608" si="115">+M593-O593</f>
        <v>112.21799999999985</v>
      </c>
      <c r="O593" s="35">
        <v>1625.0820000000001</v>
      </c>
      <c r="P593" s="38">
        <v>20</v>
      </c>
      <c r="Q593" s="38">
        <v>10</v>
      </c>
      <c r="R593" s="39">
        <f t="shared" ref="R593:R608" si="116">SUM(P593:Q593)</f>
        <v>30</v>
      </c>
      <c r="S593" s="38"/>
      <c r="T593" s="40">
        <v>11725</v>
      </c>
    </row>
    <row r="594" spans="2:20" ht="15.6" x14ac:dyDescent="0.3">
      <c r="B594" s="32">
        <f>+B593+1</f>
        <v>2</v>
      </c>
      <c r="C594" s="32" t="s">
        <v>852</v>
      </c>
      <c r="D594" s="33" t="s">
        <v>853</v>
      </c>
      <c r="E594" s="34">
        <v>45107</v>
      </c>
      <c r="F594" s="35">
        <f>395.269231*G594</f>
        <v>3952.6923099999999</v>
      </c>
      <c r="G594" s="36">
        <v>10</v>
      </c>
      <c r="H594" s="37">
        <f>+F594/G594</f>
        <v>395.26923099999999</v>
      </c>
      <c r="I594" s="35">
        <v>12277.140874000001</v>
      </c>
      <c r="J594" s="35">
        <v>19887.080147000001</v>
      </c>
      <c r="K594" s="35">
        <v>21503.905362000001</v>
      </c>
      <c r="L594" s="35">
        <v>718.45526299999995</v>
      </c>
      <c r="M594" s="35">
        <v>712.20537100000001</v>
      </c>
      <c r="N594" s="37">
        <f t="shared" si="115"/>
        <v>-182.332402</v>
      </c>
      <c r="O594" s="35">
        <v>894.53777300000002</v>
      </c>
      <c r="P594" s="38">
        <v>25</v>
      </c>
      <c r="Q594" s="38">
        <v>0</v>
      </c>
      <c r="R594" s="39">
        <f>SUM(P594:Q594)</f>
        <v>25</v>
      </c>
      <c r="S594" s="38"/>
      <c r="T594" s="40">
        <v>4908</v>
      </c>
    </row>
    <row r="595" spans="2:20" ht="15.6" x14ac:dyDescent="0.3">
      <c r="B595" s="32">
        <f>+B594+1</f>
        <v>3</v>
      </c>
      <c r="C595" s="32" t="s">
        <v>854</v>
      </c>
      <c r="D595" s="33" t="s">
        <v>855</v>
      </c>
      <c r="E595" s="34">
        <v>45107</v>
      </c>
      <c r="F595" s="35">
        <f>0.5*G595</f>
        <v>5</v>
      </c>
      <c r="G595" s="36">
        <v>10</v>
      </c>
      <c r="H595" s="37">
        <f>+F595/G595</f>
        <v>0.5</v>
      </c>
      <c r="I595" s="35">
        <v>0.62022900000000003</v>
      </c>
      <c r="J595" s="35">
        <v>1.7057420000000001</v>
      </c>
      <c r="K595" s="35">
        <v>1.8062499999999999</v>
      </c>
      <c r="L595" s="35">
        <v>0</v>
      </c>
      <c r="M595" s="35">
        <v>-2.8560080000000001</v>
      </c>
      <c r="N595" s="37">
        <f t="shared" si="115"/>
        <v>-1.6137000000000068E-2</v>
      </c>
      <c r="O595" s="35">
        <v>-2.839871</v>
      </c>
      <c r="P595" s="38">
        <v>0</v>
      </c>
      <c r="Q595" s="38">
        <v>0</v>
      </c>
      <c r="R595" s="39">
        <f>SUM(P595:Q595)</f>
        <v>0</v>
      </c>
      <c r="S595" s="38"/>
      <c r="T595" s="40">
        <v>363</v>
      </c>
    </row>
    <row r="596" spans="2:20" ht="15.6" x14ac:dyDescent="0.3">
      <c r="B596" s="32">
        <f t="shared" ref="B596:B608" si="117">+B595+1</f>
        <v>4</v>
      </c>
      <c r="C596" s="32" t="s">
        <v>856</v>
      </c>
      <c r="D596" s="33" t="s">
        <v>857</v>
      </c>
      <c r="E596" s="34">
        <v>45107</v>
      </c>
      <c r="F596" s="35">
        <f>1134*G596</f>
        <v>1134</v>
      </c>
      <c r="G596" s="36">
        <v>1</v>
      </c>
      <c r="H596" s="37">
        <f t="shared" si="114"/>
        <v>1134</v>
      </c>
      <c r="I596" s="35">
        <v>7245.86438</v>
      </c>
      <c r="J596" s="35">
        <v>8259.0042219999996</v>
      </c>
      <c r="K596" s="35">
        <v>6825.586346</v>
      </c>
      <c r="L596" s="35">
        <v>46.059106</v>
      </c>
      <c r="M596" s="35">
        <v>2439.8168350000001</v>
      </c>
      <c r="N596" s="37">
        <f t="shared" si="115"/>
        <v>290.57826100000011</v>
      </c>
      <c r="O596" s="35">
        <v>2149.238574</v>
      </c>
      <c r="P596" s="38">
        <v>0</v>
      </c>
      <c r="Q596" s="38">
        <f>20</f>
        <v>20</v>
      </c>
      <c r="R596" s="39">
        <f t="shared" si="116"/>
        <v>20</v>
      </c>
      <c r="S596" s="38"/>
      <c r="T596" s="40">
        <v>6681</v>
      </c>
    </row>
    <row r="597" spans="2:20" ht="15.6" x14ac:dyDescent="0.3">
      <c r="B597" s="32">
        <f t="shared" si="117"/>
        <v>5</v>
      </c>
      <c r="C597" s="32" t="s">
        <v>858</v>
      </c>
      <c r="D597" s="33" t="s">
        <v>859</v>
      </c>
      <c r="E597" s="34">
        <v>45107</v>
      </c>
      <c r="F597" s="35">
        <f>90.090731*G597</f>
        <v>900.90731000000005</v>
      </c>
      <c r="G597" s="36">
        <v>10</v>
      </c>
      <c r="H597" s="37">
        <f t="shared" si="114"/>
        <v>90.090731000000005</v>
      </c>
      <c r="I597" s="35">
        <v>1744.702</v>
      </c>
      <c r="J597" s="35">
        <v>1802.4939999999999</v>
      </c>
      <c r="K597" s="35">
        <v>81.863</v>
      </c>
      <c r="L597" s="35">
        <v>7.9000000000000001E-2</v>
      </c>
      <c r="M597" s="35">
        <v>-9.7720000000000002</v>
      </c>
      <c r="N597" s="37">
        <f t="shared" si="115"/>
        <v>-0.86100000000000065</v>
      </c>
      <c r="O597" s="35">
        <v>-8.9109999999999996</v>
      </c>
      <c r="P597" s="38">
        <v>0</v>
      </c>
      <c r="Q597" s="38">
        <v>0</v>
      </c>
      <c r="R597" s="39">
        <f t="shared" ref="R597" si="118">SUM(P597:Q597)</f>
        <v>0</v>
      </c>
      <c r="S597" s="38"/>
      <c r="T597" s="40">
        <v>1516</v>
      </c>
    </row>
    <row r="598" spans="2:20" ht="15.6" x14ac:dyDescent="0.3">
      <c r="B598" s="32">
        <f t="shared" si="117"/>
        <v>6</v>
      </c>
      <c r="C598" s="32" t="s">
        <v>860</v>
      </c>
      <c r="D598" s="33" t="s">
        <v>861</v>
      </c>
      <c r="E598" s="34">
        <v>45107</v>
      </c>
      <c r="F598" s="35">
        <f>89.836923*G598</f>
        <v>898.36923000000002</v>
      </c>
      <c r="G598" s="36">
        <v>10</v>
      </c>
      <c r="H598" s="37">
        <f t="shared" si="114"/>
        <v>89.836922999999999</v>
      </c>
      <c r="I598" s="35">
        <v>9167.4341679999998</v>
      </c>
      <c r="J598" s="35">
        <v>12900.342280000001</v>
      </c>
      <c r="K598" s="35">
        <v>7670.1809830000002</v>
      </c>
      <c r="L598" s="35">
        <v>189.6491212</v>
      </c>
      <c r="M598" s="35">
        <v>1477.743461</v>
      </c>
      <c r="N598" s="37">
        <f t="shared" si="115"/>
        <v>192.50930599999992</v>
      </c>
      <c r="O598" s="35">
        <v>1285.2341550000001</v>
      </c>
      <c r="P598" s="38">
        <v>0</v>
      </c>
      <c r="Q598" s="38">
        <v>0</v>
      </c>
      <c r="R598" s="39">
        <f t="shared" si="116"/>
        <v>0</v>
      </c>
      <c r="S598" s="38"/>
      <c r="T598" s="40">
        <v>7907</v>
      </c>
    </row>
    <row r="599" spans="2:20" ht="15.6" x14ac:dyDescent="0.3">
      <c r="B599" s="32">
        <f t="shared" si="117"/>
        <v>7</v>
      </c>
      <c r="C599" s="32" t="s">
        <v>862</v>
      </c>
      <c r="D599" s="33" t="s">
        <v>863</v>
      </c>
      <c r="E599" s="34">
        <v>45291</v>
      </c>
      <c r="F599" s="35">
        <v>1572.6250199999999</v>
      </c>
      <c r="G599" s="36">
        <v>10</v>
      </c>
      <c r="H599" s="37">
        <f t="shared" si="114"/>
        <v>157.26250199999998</v>
      </c>
      <c r="I599" s="35">
        <v>2570.4757949999998</v>
      </c>
      <c r="J599" s="35">
        <v>2827.3562729999999</v>
      </c>
      <c r="K599" s="35">
        <v>903.11818900000003</v>
      </c>
      <c r="L599" s="35">
        <v>0</v>
      </c>
      <c r="M599" s="35">
        <v>523.06646999999998</v>
      </c>
      <c r="N599" s="37">
        <f t="shared" si="115"/>
        <v>7.258438999999953</v>
      </c>
      <c r="O599" s="35">
        <v>515.80803100000003</v>
      </c>
      <c r="P599" s="38">
        <v>0</v>
      </c>
      <c r="Q599" s="38">
        <v>0</v>
      </c>
      <c r="R599" s="39">
        <f t="shared" ref="R599" si="119">SUM(P599:Q599)</f>
        <v>0</v>
      </c>
      <c r="S599" s="38"/>
      <c r="T599" s="40">
        <v>6621</v>
      </c>
    </row>
    <row r="600" spans="2:20" ht="15.6" x14ac:dyDescent="0.3">
      <c r="B600" s="32">
        <f t="shared" si="117"/>
        <v>8</v>
      </c>
      <c r="C600" s="59" t="s">
        <v>864</v>
      </c>
      <c r="D600" s="33" t="s">
        <v>865</v>
      </c>
      <c r="E600" s="34">
        <v>45107</v>
      </c>
      <c r="F600" s="35">
        <f>11.85921*G600</f>
        <v>118.59209999999999</v>
      </c>
      <c r="G600" s="36">
        <v>10</v>
      </c>
      <c r="H600" s="37">
        <f t="shared" si="114"/>
        <v>11.859209999999999</v>
      </c>
      <c r="I600" s="35">
        <v>1285.62716</v>
      </c>
      <c r="J600" s="35">
        <v>2053.200057</v>
      </c>
      <c r="K600" s="35">
        <v>1362.843918</v>
      </c>
      <c r="L600" s="35">
        <v>0</v>
      </c>
      <c r="M600" s="35">
        <v>399.13044400000001</v>
      </c>
      <c r="N600" s="37">
        <f t="shared" si="115"/>
        <v>109.268936</v>
      </c>
      <c r="O600" s="35">
        <v>289.86150800000001</v>
      </c>
      <c r="P600" s="38">
        <v>90</v>
      </c>
      <c r="Q600" s="38">
        <v>0</v>
      </c>
      <c r="R600" s="39">
        <f t="shared" si="116"/>
        <v>90</v>
      </c>
      <c r="S600" s="38"/>
      <c r="T600" s="40">
        <v>2161</v>
      </c>
    </row>
    <row r="601" spans="2:20" ht="15.6" x14ac:dyDescent="0.3">
      <c r="B601" s="32">
        <f t="shared" si="117"/>
        <v>9</v>
      </c>
      <c r="C601" s="59" t="s">
        <v>866</v>
      </c>
      <c r="D601" s="33" t="s">
        <v>867</v>
      </c>
      <c r="E601" s="34">
        <v>45291</v>
      </c>
      <c r="F601" s="35">
        <v>51000</v>
      </c>
      <c r="G601" s="36">
        <v>10</v>
      </c>
      <c r="H601" s="37">
        <f t="shared" si="114"/>
        <v>5100</v>
      </c>
      <c r="I601" s="35"/>
      <c r="J601" s="35"/>
      <c r="K601" s="35"/>
      <c r="L601" s="35"/>
      <c r="M601" s="35">
        <v>13905.937</v>
      </c>
      <c r="N601" s="37">
        <f t="shared" si="115"/>
        <v>4515.3940000000002</v>
      </c>
      <c r="O601" s="35">
        <v>9390.5429999999997</v>
      </c>
      <c r="P601" s="38">
        <v>0</v>
      </c>
      <c r="Q601" s="38">
        <v>0</v>
      </c>
      <c r="R601" s="39">
        <f t="shared" si="116"/>
        <v>0</v>
      </c>
      <c r="S601" s="38"/>
      <c r="T601" s="40"/>
    </row>
    <row r="602" spans="2:20" ht="15.6" x14ac:dyDescent="0.3">
      <c r="B602" s="32">
        <f t="shared" si="117"/>
        <v>10</v>
      </c>
      <c r="C602" s="59" t="s">
        <v>868</v>
      </c>
      <c r="D602" s="33" t="s">
        <v>869</v>
      </c>
      <c r="E602" s="34">
        <v>45107</v>
      </c>
      <c r="F602" s="35">
        <v>197.01023000000001</v>
      </c>
      <c r="G602" s="36">
        <v>1</v>
      </c>
      <c r="H602" s="37">
        <f t="shared" si="114"/>
        <v>197.01023000000001</v>
      </c>
      <c r="I602" s="35">
        <v>372.72778499999998</v>
      </c>
      <c r="J602" s="35">
        <v>563.69136200000003</v>
      </c>
      <c r="K602" s="35">
        <v>255.62042</v>
      </c>
      <c r="L602" s="35">
        <v>15.004778999999999</v>
      </c>
      <c r="M602" s="35">
        <v>139.96355600000001</v>
      </c>
      <c r="N602" s="37">
        <f t="shared" si="115"/>
        <v>12.361741000000009</v>
      </c>
      <c r="O602" s="35">
        <v>127.601815</v>
      </c>
      <c r="P602" s="38">
        <f>5</f>
        <v>5</v>
      </c>
      <c r="Q602" s="38">
        <v>0</v>
      </c>
      <c r="R602" s="39">
        <f t="shared" ref="R602" si="120">SUM(P602:Q602)</f>
        <v>5</v>
      </c>
      <c r="S602" s="38"/>
      <c r="T602" s="40">
        <v>8</v>
      </c>
    </row>
    <row r="603" spans="2:20" ht="15.6" x14ac:dyDescent="0.3">
      <c r="B603" s="32">
        <f t="shared" si="117"/>
        <v>11</v>
      </c>
      <c r="C603" s="59" t="s">
        <v>870</v>
      </c>
      <c r="D603" s="33" t="s">
        <v>871</v>
      </c>
      <c r="E603" s="34">
        <v>45291</v>
      </c>
      <c r="F603" s="35">
        <v>2914.2139889999999</v>
      </c>
      <c r="G603" s="36">
        <v>10</v>
      </c>
      <c r="H603" s="37">
        <f t="shared" si="114"/>
        <v>291.42139889999999</v>
      </c>
      <c r="I603" s="35">
        <v>27713.527674000001</v>
      </c>
      <c r="J603" s="35">
        <v>36317.296721999999</v>
      </c>
      <c r="K603" s="35">
        <v>32037.995164</v>
      </c>
      <c r="L603" s="35">
        <v>664.17998899999998</v>
      </c>
      <c r="M603" s="35">
        <v>9008.7717279999997</v>
      </c>
      <c r="N603" s="37">
        <f t="shared" si="115"/>
        <v>449.61123699999916</v>
      </c>
      <c r="O603" s="35">
        <v>8559.1604910000005</v>
      </c>
      <c r="P603" s="38">
        <v>60</v>
      </c>
      <c r="Q603" s="38">
        <v>0</v>
      </c>
      <c r="R603" s="39">
        <f t="shared" si="116"/>
        <v>60</v>
      </c>
      <c r="S603" s="38"/>
      <c r="T603" s="40">
        <v>8094</v>
      </c>
    </row>
    <row r="604" spans="2:20" ht="15.6" x14ac:dyDescent="0.3">
      <c r="B604" s="32">
        <f t="shared" si="117"/>
        <v>12</v>
      </c>
      <c r="C604" s="59" t="s">
        <v>872</v>
      </c>
      <c r="D604" s="33" t="s">
        <v>873</v>
      </c>
      <c r="E604" s="34">
        <v>45107</v>
      </c>
      <c r="F604" s="35">
        <v>1872.63093</v>
      </c>
      <c r="G604" s="36">
        <v>10</v>
      </c>
      <c r="H604" s="37">
        <f t="shared" si="114"/>
        <v>187.263093</v>
      </c>
      <c r="I604" s="35">
        <v>2372.2534289999999</v>
      </c>
      <c r="J604" s="35">
        <v>6349.716109</v>
      </c>
      <c r="K604" s="35">
        <v>2253.1397900000002</v>
      </c>
      <c r="L604" s="35">
        <v>535.75138200000004</v>
      </c>
      <c r="M604" s="35">
        <v>1.1183000000000001</v>
      </c>
      <c r="N604" s="37">
        <f t="shared" si="115"/>
        <v>43.392312999999994</v>
      </c>
      <c r="O604" s="35">
        <v>-42.274012999999997</v>
      </c>
      <c r="P604" s="38">
        <v>0</v>
      </c>
      <c r="Q604" s="38">
        <v>0</v>
      </c>
      <c r="R604" s="39">
        <f t="shared" ref="R604" si="121">SUM(P604:Q604)</f>
        <v>0</v>
      </c>
      <c r="S604" s="38"/>
      <c r="T604" s="40">
        <v>1123</v>
      </c>
    </row>
    <row r="605" spans="2:20" ht="15.6" x14ac:dyDescent="0.3">
      <c r="B605" s="32">
        <f t="shared" si="117"/>
        <v>13</v>
      </c>
      <c r="C605" s="59" t="s">
        <v>874</v>
      </c>
      <c r="D605" s="33" t="s">
        <v>875</v>
      </c>
      <c r="E605" s="34">
        <v>45107</v>
      </c>
      <c r="F605" s="35">
        <f>338.625*G605</f>
        <v>3386.25</v>
      </c>
      <c r="G605" s="36">
        <v>10</v>
      </c>
      <c r="H605" s="37">
        <f t="shared" si="114"/>
        <v>338.625</v>
      </c>
      <c r="I605" s="35">
        <v>2776.0729999999999</v>
      </c>
      <c r="J605" s="35">
        <v>4374.875</v>
      </c>
      <c r="K605" s="35">
        <v>1767.86</v>
      </c>
      <c r="L605" s="35">
        <v>112.3</v>
      </c>
      <c r="M605" s="35">
        <v>125.887</v>
      </c>
      <c r="N605" s="37">
        <f t="shared" si="115"/>
        <v>-10.231999999999999</v>
      </c>
      <c r="O605" s="35">
        <v>136.119</v>
      </c>
      <c r="P605" s="38">
        <v>0</v>
      </c>
      <c r="Q605" s="38">
        <v>0</v>
      </c>
      <c r="R605" s="39">
        <f t="shared" si="116"/>
        <v>0</v>
      </c>
      <c r="S605" s="38"/>
      <c r="T605" s="40">
        <v>12643</v>
      </c>
    </row>
    <row r="606" spans="2:20" ht="15.6" x14ac:dyDescent="0.3">
      <c r="B606" s="32">
        <f t="shared" si="117"/>
        <v>14</v>
      </c>
      <c r="C606" s="32" t="s">
        <v>876</v>
      </c>
      <c r="D606" s="33" t="s">
        <v>877</v>
      </c>
      <c r="E606" s="34">
        <v>45107</v>
      </c>
      <c r="F606" s="35">
        <f>267.297763*G606</f>
        <v>2672.9776299999999</v>
      </c>
      <c r="G606" s="36">
        <v>10</v>
      </c>
      <c r="H606" s="37">
        <f>+F606/G606</f>
        <v>267.29776299999997</v>
      </c>
      <c r="I606" s="35">
        <v>4140.0552559999996</v>
      </c>
      <c r="J606" s="35">
        <v>10664.418320999999</v>
      </c>
      <c r="K606" s="35">
        <v>444.62000399999999</v>
      </c>
      <c r="L606" s="35">
        <v>1094.603607</v>
      </c>
      <c r="M606" s="35">
        <v>-800.89711399999999</v>
      </c>
      <c r="N606" s="37">
        <f t="shared" si="115"/>
        <v>62.808175000000006</v>
      </c>
      <c r="O606" s="35">
        <v>-863.70528899999999</v>
      </c>
      <c r="P606" s="38">
        <v>0</v>
      </c>
      <c r="Q606" s="38">
        <v>0</v>
      </c>
      <c r="R606" s="39">
        <f>SUM(P606:Q606)</f>
        <v>0</v>
      </c>
      <c r="S606" s="38"/>
      <c r="T606" s="40">
        <v>4664</v>
      </c>
    </row>
    <row r="607" spans="2:20" ht="15.6" x14ac:dyDescent="0.3">
      <c r="B607" s="32">
        <f t="shared" si="117"/>
        <v>15</v>
      </c>
      <c r="C607" s="32" t="s">
        <v>878</v>
      </c>
      <c r="D607" s="33" t="s">
        <v>879</v>
      </c>
      <c r="E607" s="34">
        <v>45107</v>
      </c>
      <c r="F607" s="35">
        <f>545.390665*G607</f>
        <v>5453.9066499999999</v>
      </c>
      <c r="G607" s="36">
        <v>10</v>
      </c>
      <c r="H607" s="37">
        <f t="shared" si="114"/>
        <v>545.39066500000001</v>
      </c>
      <c r="I607" s="35">
        <v>65499.438000000002</v>
      </c>
      <c r="J607" s="35">
        <v>78084.709000000003</v>
      </c>
      <c r="K607" s="35">
        <v>0.95199999999999996</v>
      </c>
      <c r="L607" s="35">
        <v>0</v>
      </c>
      <c r="M607" s="35">
        <v>-1541.58</v>
      </c>
      <c r="N607" s="37">
        <f t="shared" si="115"/>
        <v>-205.53399999999988</v>
      </c>
      <c r="O607" s="35">
        <v>-1336.046</v>
      </c>
      <c r="P607" s="38">
        <v>0</v>
      </c>
      <c r="Q607" s="38">
        <v>0</v>
      </c>
      <c r="R607" s="39">
        <f t="shared" si="116"/>
        <v>0</v>
      </c>
      <c r="S607" s="38"/>
      <c r="T607" s="40">
        <v>10465</v>
      </c>
    </row>
    <row r="608" spans="2:20" ht="15.6" x14ac:dyDescent="0.3">
      <c r="B608" s="32">
        <f t="shared" si="117"/>
        <v>16</v>
      </c>
      <c r="C608" s="59" t="s">
        <v>880</v>
      </c>
      <c r="D608" s="33" t="s">
        <v>881</v>
      </c>
      <c r="E608" s="34">
        <v>45291</v>
      </c>
      <c r="F608" s="35">
        <v>49822.891860000003</v>
      </c>
      <c r="G608" s="36">
        <v>10</v>
      </c>
      <c r="H608" s="37">
        <f t="shared" si="114"/>
        <v>4982.289186</v>
      </c>
      <c r="I608" s="35">
        <v>-377.39699999999999</v>
      </c>
      <c r="J608" s="35">
        <v>13812.007</v>
      </c>
      <c r="K608" s="35">
        <v>2943.549</v>
      </c>
      <c r="L608" s="35">
        <v>605.34299999999996</v>
      </c>
      <c r="M608" s="35">
        <v>-1980.9949999999999</v>
      </c>
      <c r="N608" s="37">
        <f t="shared" si="115"/>
        <v>27.449000000000069</v>
      </c>
      <c r="O608" s="35">
        <v>-2008.444</v>
      </c>
      <c r="P608" s="38">
        <v>0</v>
      </c>
      <c r="Q608" s="38">
        <v>0</v>
      </c>
      <c r="R608" s="39">
        <f t="shared" si="116"/>
        <v>0</v>
      </c>
      <c r="S608" s="38"/>
      <c r="T608" s="40">
        <v>29381</v>
      </c>
    </row>
    <row r="609" spans="2:20" ht="15.6" x14ac:dyDescent="0.3">
      <c r="B609" s="70"/>
      <c r="C609" s="87"/>
      <c r="D609" s="27"/>
      <c r="E609" s="88"/>
      <c r="F609" s="65"/>
      <c r="G609" s="42"/>
      <c r="H609" s="66"/>
      <c r="I609" s="65"/>
      <c r="J609" s="65"/>
      <c r="K609" s="65"/>
      <c r="L609" s="65"/>
      <c r="M609" s="65"/>
      <c r="N609" s="66"/>
      <c r="O609" s="65"/>
      <c r="P609" s="67"/>
      <c r="Q609" s="67"/>
      <c r="R609" s="68"/>
      <c r="S609" s="67"/>
      <c r="T609" s="69"/>
    </row>
    <row r="610" spans="2:20" ht="18" x14ac:dyDescent="0.35">
      <c r="B610" s="70"/>
      <c r="C610" s="87"/>
      <c r="D610" s="55" t="s">
        <v>43</v>
      </c>
      <c r="E610" s="88"/>
      <c r="F610" s="65"/>
      <c r="G610" s="42"/>
      <c r="H610" s="66"/>
      <c r="I610" s="65"/>
      <c r="J610" s="65"/>
      <c r="K610" s="65"/>
      <c r="L610" s="65"/>
      <c r="M610" s="65"/>
      <c r="N610" s="66"/>
      <c r="O610" s="65"/>
      <c r="P610" s="67"/>
      <c r="Q610" s="67"/>
      <c r="R610" s="68"/>
      <c r="S610" s="67"/>
      <c r="T610" s="69"/>
    </row>
    <row r="611" spans="2:20" ht="15.6" x14ac:dyDescent="0.3">
      <c r="B611" s="32">
        <v>1</v>
      </c>
      <c r="C611" s="32" t="s">
        <v>882</v>
      </c>
      <c r="D611" s="33" t="s">
        <v>883</v>
      </c>
      <c r="E611" s="34">
        <v>45107</v>
      </c>
      <c r="F611" s="35">
        <f>178.85101*G611</f>
        <v>1788.5101</v>
      </c>
      <c r="G611" s="36">
        <v>10</v>
      </c>
      <c r="H611" s="37">
        <f>+F611/G611</f>
        <v>178.85101</v>
      </c>
      <c r="I611" s="35">
        <v>-1051.505578</v>
      </c>
      <c r="J611" s="35">
        <v>267.338076</v>
      </c>
      <c r="K611" s="35">
        <v>110.9706</v>
      </c>
      <c r="L611" s="35">
        <v>105.95841799999999</v>
      </c>
      <c r="M611" s="35">
        <v>-109.152961</v>
      </c>
      <c r="N611" s="37">
        <f>+M611-O611</f>
        <v>1.3871329999999915</v>
      </c>
      <c r="O611" s="35">
        <v>-110.540094</v>
      </c>
      <c r="P611" s="38">
        <v>0</v>
      </c>
      <c r="Q611" s="38">
        <v>0</v>
      </c>
      <c r="R611" s="39">
        <f>SUM(P611:Q611)</f>
        <v>0</v>
      </c>
      <c r="S611" s="38"/>
      <c r="T611" s="40">
        <v>3109</v>
      </c>
    </row>
    <row r="612" spans="2:20" ht="15.6" x14ac:dyDescent="0.3">
      <c r="B612" s="62"/>
      <c r="C612" s="61"/>
      <c r="D612" s="63"/>
      <c r="E612" s="64"/>
      <c r="F612" s="65"/>
      <c r="G612" s="42"/>
      <c r="H612" s="66"/>
      <c r="I612" s="65"/>
      <c r="J612" s="65"/>
      <c r="K612" s="65"/>
      <c r="L612" s="65"/>
      <c r="M612" s="65"/>
      <c r="N612" s="66"/>
      <c r="O612" s="65"/>
      <c r="P612" s="67"/>
      <c r="Q612" s="67"/>
      <c r="R612" s="68"/>
      <c r="S612" s="67"/>
      <c r="T612" s="69"/>
    </row>
    <row r="613" spans="2:20" ht="15.6" x14ac:dyDescent="0.3">
      <c r="B613" s="46">
        <f>COUNT(B593:B612)</f>
        <v>17</v>
      </c>
      <c r="C613" s="46"/>
      <c r="D613" s="47"/>
      <c r="E613" s="47"/>
      <c r="F613" s="47">
        <f>SUM(F593:F612)</f>
        <v>131453.55535900002</v>
      </c>
      <c r="G613" s="48"/>
      <c r="H613" s="49">
        <f>SUM(H593:H612)</f>
        <v>14343.264742900001</v>
      </c>
      <c r="I613" s="47">
        <f>SUM(I593:I612)</f>
        <v>143564.399172</v>
      </c>
      <c r="J613" s="47">
        <f>SUM(J593:J612)</f>
        <v>208715.917311</v>
      </c>
      <c r="K613" s="47">
        <f>SUM(K593:K612)</f>
        <v>81021.605026000005</v>
      </c>
      <c r="L613" s="47">
        <f>SUM(L593:L612)</f>
        <v>4300.2346652000006</v>
      </c>
      <c r="M613" s="47">
        <f>SUM(M593:M612)</f>
        <v>26025.687082</v>
      </c>
      <c r="N613" s="50">
        <f>SUM(N593:N612)</f>
        <v>5425.2610019999993</v>
      </c>
      <c r="O613" s="47">
        <f>SUM(O593:O612)</f>
        <v>20600.426080000001</v>
      </c>
      <c r="P613" s="51"/>
      <c r="Q613" s="51"/>
      <c r="R613" s="52"/>
      <c r="S613" s="51"/>
      <c r="T613" s="53">
        <f>SUM(T593:T612)</f>
        <v>111369</v>
      </c>
    </row>
    <row r="614" spans="2:20" ht="15.6" x14ac:dyDescent="0.3">
      <c r="B614" s="27"/>
      <c r="C614" s="27"/>
      <c r="D614" s="27"/>
      <c r="E614" s="27"/>
      <c r="F614" s="27"/>
      <c r="G614" s="42"/>
      <c r="H614" s="43"/>
      <c r="I614" s="29"/>
      <c r="J614" s="29"/>
      <c r="K614" s="29"/>
      <c r="L614" s="29"/>
      <c r="M614" s="29"/>
      <c r="N614" s="44"/>
      <c r="O614" s="29"/>
      <c r="P614" s="29"/>
      <c r="Q614" s="29"/>
      <c r="R614" s="44"/>
      <c r="S614" s="29"/>
      <c r="T614" s="29"/>
    </row>
    <row r="615" spans="2:20" ht="15.6" x14ac:dyDescent="0.3">
      <c r="B615" s="27"/>
      <c r="C615" s="27"/>
      <c r="D615" s="27"/>
      <c r="E615" s="27"/>
      <c r="F615" s="27"/>
      <c r="G615" s="42"/>
      <c r="H615" s="43"/>
      <c r="I615" s="29"/>
      <c r="J615" s="29"/>
      <c r="K615" s="29"/>
      <c r="L615" s="29"/>
      <c r="M615" s="29"/>
      <c r="N615" s="44"/>
      <c r="O615" s="29"/>
      <c r="P615" s="29"/>
      <c r="Q615" s="29"/>
      <c r="R615" s="44"/>
      <c r="S615" s="29"/>
      <c r="T615" s="29"/>
    </row>
    <row r="616" spans="2:20" ht="18" x14ac:dyDescent="0.35">
      <c r="B616" s="27"/>
      <c r="C616" s="31">
        <v>28</v>
      </c>
      <c r="D616" s="31" t="s">
        <v>884</v>
      </c>
      <c r="E616" s="60"/>
      <c r="F616" s="60"/>
      <c r="G616" s="42"/>
      <c r="H616" s="43"/>
      <c r="I616" s="29"/>
      <c r="J616" s="29"/>
      <c r="K616" s="29"/>
      <c r="L616" s="29"/>
      <c r="M616" s="29"/>
      <c r="N616" s="44"/>
      <c r="O616" s="29"/>
      <c r="P616" s="29"/>
      <c r="Q616" s="29"/>
      <c r="R616" s="44"/>
      <c r="S616" s="29"/>
      <c r="T616" s="29"/>
    </row>
    <row r="617" spans="2:20" ht="15.6" x14ac:dyDescent="0.3">
      <c r="B617" s="27"/>
      <c r="C617" s="27"/>
      <c r="D617" s="27"/>
      <c r="E617" s="27"/>
      <c r="F617" s="27"/>
      <c r="G617" s="42"/>
      <c r="H617" s="43"/>
      <c r="I617" s="29"/>
      <c r="J617" s="29"/>
      <c r="K617" s="29"/>
      <c r="L617" s="29"/>
      <c r="M617" s="29"/>
      <c r="N617" s="44"/>
      <c r="O617" s="29"/>
      <c r="P617" s="29"/>
      <c r="Q617" s="29"/>
      <c r="R617" s="44"/>
      <c r="S617" s="29"/>
      <c r="T617" s="29"/>
    </row>
    <row r="618" spans="2:20" ht="15.6" x14ac:dyDescent="0.3">
      <c r="B618" s="59">
        <v>1</v>
      </c>
      <c r="C618" s="59" t="s">
        <v>885</v>
      </c>
      <c r="D618" s="33" t="s">
        <v>886</v>
      </c>
      <c r="E618" s="34">
        <v>45107</v>
      </c>
      <c r="F618" s="35">
        <f>408.375*G618</f>
        <v>4083.75</v>
      </c>
      <c r="G618" s="36">
        <v>10</v>
      </c>
      <c r="H618" s="37">
        <f t="shared" ref="H618:H623" si="122">+F618/G618</f>
        <v>408.375</v>
      </c>
      <c r="I618" s="35">
        <v>20469.173995000001</v>
      </c>
      <c r="J618" s="35">
        <v>23814.057751</v>
      </c>
      <c r="K618" s="35">
        <f>2790.68358+111.676899+0.425694</f>
        <v>2902.786173</v>
      </c>
      <c r="L618" s="35">
        <v>138.075287</v>
      </c>
      <c r="M618" s="35">
        <v>37.909880999999999</v>
      </c>
      <c r="N618" s="37">
        <f t="shared" ref="N618:N623" si="123">+M618-O618</f>
        <v>1010.270425</v>
      </c>
      <c r="O618" s="35">
        <v>-972.360544</v>
      </c>
      <c r="P618" s="38">
        <v>0</v>
      </c>
      <c r="Q618" s="38">
        <v>0</v>
      </c>
      <c r="R618" s="39">
        <f t="shared" ref="R618:R623" si="124">SUM(P618:Q618)</f>
        <v>0</v>
      </c>
      <c r="S618" s="38"/>
      <c r="T618" s="40">
        <v>3148</v>
      </c>
    </row>
    <row r="619" spans="2:20" ht="15.6" x14ac:dyDescent="0.3">
      <c r="B619" s="59">
        <f>+B618+1</f>
        <v>2</v>
      </c>
      <c r="C619" s="59" t="s">
        <v>887</v>
      </c>
      <c r="D619" s="33" t="s">
        <v>888</v>
      </c>
      <c r="E619" s="34">
        <v>45291</v>
      </c>
      <c r="F619" s="35">
        <v>13352.993</v>
      </c>
      <c r="G619" s="36">
        <v>10</v>
      </c>
      <c r="H619" s="37">
        <f t="shared" si="122"/>
        <v>1335.2993000000001</v>
      </c>
      <c r="I619" s="35">
        <v>45026.343999999997</v>
      </c>
      <c r="J619" s="35">
        <v>147726.70499999999</v>
      </c>
      <c r="K619" s="35">
        <v>161666.12700000001</v>
      </c>
      <c r="L619" s="35">
        <v>1884.5060000000001</v>
      </c>
      <c r="M619" s="35">
        <v>44984.752</v>
      </c>
      <c r="N619" s="37">
        <f t="shared" si="123"/>
        <v>19306.333999999999</v>
      </c>
      <c r="O619" s="35">
        <v>25678.418000000001</v>
      </c>
      <c r="P619" s="38">
        <f>35+30+60+80</f>
        <v>205</v>
      </c>
      <c r="Q619" s="38">
        <v>0</v>
      </c>
      <c r="R619" s="39">
        <f t="shared" si="124"/>
        <v>205</v>
      </c>
      <c r="S619" s="38"/>
      <c r="T619" s="40">
        <v>31820</v>
      </c>
    </row>
    <row r="620" spans="2:20" ht="15.6" x14ac:dyDescent="0.3">
      <c r="B620" s="59">
        <f t="shared" ref="B620:B623" si="125">+B619+1</f>
        <v>3</v>
      </c>
      <c r="C620" s="59" t="s">
        <v>889</v>
      </c>
      <c r="D620" s="33" t="s">
        <v>890</v>
      </c>
      <c r="E620" s="34">
        <v>45291</v>
      </c>
      <c r="F620" s="35">
        <v>5366.2646800000002</v>
      </c>
      <c r="G620" s="36">
        <v>10</v>
      </c>
      <c r="H620" s="37">
        <f t="shared" si="122"/>
        <v>536.62646800000005</v>
      </c>
      <c r="I620" s="35">
        <v>71437.790999999997</v>
      </c>
      <c r="J620" s="35">
        <v>88815.843999999997</v>
      </c>
      <c r="K620" s="35">
        <f>21517.861+2300.86</f>
        <v>23818.721000000001</v>
      </c>
      <c r="L620" s="35">
        <v>124.93899999999999</v>
      </c>
      <c r="M620" s="35">
        <v>23965.067999999999</v>
      </c>
      <c r="N620" s="37">
        <f t="shared" si="123"/>
        <v>6398.8329999999987</v>
      </c>
      <c r="O620" s="35">
        <v>17566.235000000001</v>
      </c>
      <c r="P620" s="38">
        <f>400+20+40+20</f>
        <v>480</v>
      </c>
      <c r="Q620" s="38">
        <v>0</v>
      </c>
      <c r="R620" s="39">
        <f t="shared" si="124"/>
        <v>480</v>
      </c>
      <c r="S620" s="38"/>
      <c r="T620" s="40">
        <v>16415</v>
      </c>
    </row>
    <row r="621" spans="2:20" ht="15.6" x14ac:dyDescent="0.3">
      <c r="B621" s="59">
        <f t="shared" si="125"/>
        <v>4</v>
      </c>
      <c r="C621" s="59" t="s">
        <v>891</v>
      </c>
      <c r="D621" s="33" t="s">
        <v>892</v>
      </c>
      <c r="E621" s="34">
        <v>45291</v>
      </c>
      <c r="F621" s="35">
        <v>21000</v>
      </c>
      <c r="G621" s="36">
        <v>10</v>
      </c>
      <c r="H621" s="37">
        <f t="shared" si="122"/>
        <v>2100</v>
      </c>
      <c r="I621" s="35">
        <v>118365.98299999999</v>
      </c>
      <c r="J621" s="35">
        <v>230766.83100000001</v>
      </c>
      <c r="K621" s="35">
        <v>232754.821</v>
      </c>
      <c r="L621" s="35">
        <v>4640.4229999999998</v>
      </c>
      <c r="M621" s="35">
        <v>47744.267999999996</v>
      </c>
      <c r="N621" s="37">
        <f t="shared" si="123"/>
        <v>25344.868999999995</v>
      </c>
      <c r="O621" s="35">
        <v>22399.399000000001</v>
      </c>
      <c r="P621" s="38">
        <f>17.5+27.5</f>
        <v>45</v>
      </c>
      <c r="Q621" s="38">
        <v>0</v>
      </c>
      <c r="R621" s="39">
        <f t="shared" si="124"/>
        <v>45</v>
      </c>
      <c r="S621" s="38"/>
      <c r="T621" s="40">
        <v>9650</v>
      </c>
    </row>
    <row r="622" spans="2:20" ht="15.6" x14ac:dyDescent="0.3">
      <c r="B622" s="59">
        <f t="shared" si="125"/>
        <v>5</v>
      </c>
      <c r="C622" s="59" t="s">
        <v>893</v>
      </c>
      <c r="D622" s="33" t="s">
        <v>894</v>
      </c>
      <c r="E622" s="34">
        <v>45291</v>
      </c>
      <c r="F622" s="35">
        <v>12912.52857</v>
      </c>
      <c r="G622" s="36">
        <v>10</v>
      </c>
      <c r="H622" s="37">
        <f t="shared" si="122"/>
        <v>1291.2528569999999</v>
      </c>
      <c r="I622" s="35">
        <v>27091.319</v>
      </c>
      <c r="J622" s="35">
        <v>145871.78700000001</v>
      </c>
      <c r="K622" s="35">
        <v>193063.90900000001</v>
      </c>
      <c r="L622" s="35">
        <v>8827.5210000000006</v>
      </c>
      <c r="M622" s="35">
        <v>14145.312</v>
      </c>
      <c r="N622" s="37">
        <f t="shared" si="123"/>
        <v>9735.375</v>
      </c>
      <c r="O622" s="35">
        <v>4409.9369999999999</v>
      </c>
      <c r="P622" s="38">
        <v>10</v>
      </c>
      <c r="Q622" s="38">
        <v>0</v>
      </c>
      <c r="R622" s="39">
        <f t="shared" si="124"/>
        <v>10</v>
      </c>
      <c r="S622" s="90"/>
      <c r="T622" s="40">
        <v>13514</v>
      </c>
    </row>
    <row r="623" spans="2:20" ht="15.6" x14ac:dyDescent="0.3">
      <c r="B623" s="59">
        <f t="shared" si="125"/>
        <v>6</v>
      </c>
      <c r="C623" s="59" t="s">
        <v>895</v>
      </c>
      <c r="D623" s="33" t="s">
        <v>896</v>
      </c>
      <c r="E623" s="34">
        <v>45291</v>
      </c>
      <c r="F623" s="35">
        <v>12722.382</v>
      </c>
      <c r="G623" s="36">
        <v>10</v>
      </c>
      <c r="H623" s="37">
        <f t="shared" si="122"/>
        <v>1272.2382</v>
      </c>
      <c r="I623" s="35">
        <v>61852.51</v>
      </c>
      <c r="J623" s="35">
        <v>223280.68799999999</v>
      </c>
      <c r="K623" s="35">
        <v>159471.951</v>
      </c>
      <c r="L623" s="35">
        <v>5623.7749999999996</v>
      </c>
      <c r="M623" s="35">
        <v>53547.25</v>
      </c>
      <c r="N623" s="37">
        <f t="shared" si="123"/>
        <v>23873.901999999998</v>
      </c>
      <c r="O623" s="35">
        <v>29673.348000000002</v>
      </c>
      <c r="P623" s="38">
        <f>42.6+31.5+39.8+41</f>
        <v>154.89999999999998</v>
      </c>
      <c r="Q623" s="38">
        <v>0</v>
      </c>
      <c r="R623" s="39">
        <f t="shared" si="124"/>
        <v>154.89999999999998</v>
      </c>
      <c r="S623" s="38"/>
      <c r="T623" s="40">
        <v>15478</v>
      </c>
    </row>
    <row r="624" spans="2:20" ht="15.6" x14ac:dyDescent="0.3">
      <c r="B624" s="27"/>
      <c r="C624" s="27"/>
      <c r="D624" s="27"/>
      <c r="E624" s="27"/>
      <c r="F624" s="27"/>
      <c r="G624" s="42"/>
      <c r="H624" s="43"/>
      <c r="I624" s="29"/>
      <c r="J624" s="29"/>
      <c r="K624" s="29"/>
      <c r="L624" s="29"/>
      <c r="M624" s="29"/>
      <c r="N624" s="44"/>
      <c r="O624" s="29"/>
      <c r="P624" s="29"/>
      <c r="Q624" s="29"/>
      <c r="R624" s="44"/>
      <c r="S624" s="29"/>
      <c r="T624" s="29"/>
    </row>
    <row r="625" spans="2:20" ht="15.6" x14ac:dyDescent="0.3">
      <c r="B625" s="46">
        <f>COUNT(B618:B624)</f>
        <v>6</v>
      </c>
      <c r="C625" s="46"/>
      <c r="D625" s="47"/>
      <c r="E625" s="47"/>
      <c r="F625" s="47">
        <f>SUM(F618:F624)</f>
        <v>69437.918250000002</v>
      </c>
      <c r="G625" s="48"/>
      <c r="H625" s="49">
        <f t="shared" ref="H625:O625" si="126">SUM(H618:H624)</f>
        <v>6943.7918250000002</v>
      </c>
      <c r="I625" s="47">
        <f t="shared" si="126"/>
        <v>344243.120995</v>
      </c>
      <c r="J625" s="47">
        <f t="shared" si="126"/>
        <v>860275.91275100003</v>
      </c>
      <c r="K625" s="47">
        <f t="shared" si="126"/>
        <v>773678.31517299998</v>
      </c>
      <c r="L625" s="47">
        <f t="shared" si="126"/>
        <v>21239.239287</v>
      </c>
      <c r="M625" s="47">
        <f t="shared" si="126"/>
        <v>184424.55988100002</v>
      </c>
      <c r="N625" s="50">
        <f t="shared" si="126"/>
        <v>85669.58342499999</v>
      </c>
      <c r="O625" s="47">
        <f t="shared" si="126"/>
        <v>98754.976456000004</v>
      </c>
      <c r="P625" s="51"/>
      <c r="Q625" s="51"/>
      <c r="R625" s="52"/>
      <c r="S625" s="51"/>
      <c r="T625" s="53">
        <f>SUM(T618:T624)</f>
        <v>90025</v>
      </c>
    </row>
    <row r="626" spans="2:20" ht="15.6" x14ac:dyDescent="0.3">
      <c r="B626" s="27"/>
      <c r="C626" s="27"/>
      <c r="D626" s="27"/>
      <c r="E626" s="27"/>
      <c r="F626" s="27"/>
      <c r="G626" s="42"/>
      <c r="H626" s="43"/>
      <c r="I626" s="29"/>
      <c r="J626" s="29"/>
      <c r="K626" s="29"/>
      <c r="L626" s="29"/>
      <c r="M626" s="29"/>
      <c r="N626" s="44"/>
      <c r="O626" s="29"/>
      <c r="P626" s="29"/>
      <c r="Q626" s="29"/>
      <c r="R626" s="44"/>
      <c r="S626" s="29"/>
      <c r="T626" s="29"/>
    </row>
    <row r="627" spans="2:20" ht="15.6" x14ac:dyDescent="0.3">
      <c r="B627" s="27"/>
      <c r="C627" s="27"/>
      <c r="D627" s="27"/>
      <c r="E627" s="27"/>
      <c r="F627" s="27"/>
      <c r="G627" s="42"/>
      <c r="H627" s="43"/>
      <c r="I627" s="29"/>
      <c r="J627" s="29"/>
      <c r="K627" s="29"/>
      <c r="L627" s="29"/>
      <c r="M627" s="29"/>
      <c r="N627" s="44"/>
      <c r="O627" s="29"/>
      <c r="P627" s="29"/>
      <c r="Q627" s="29"/>
      <c r="R627" s="44"/>
      <c r="S627" s="29"/>
      <c r="T627" s="29"/>
    </row>
    <row r="628" spans="2:20" ht="18" x14ac:dyDescent="0.35">
      <c r="B628" s="27"/>
      <c r="C628" s="31">
        <v>29</v>
      </c>
      <c r="D628" s="31" t="s">
        <v>897</v>
      </c>
      <c r="E628" s="60"/>
      <c r="F628" s="60"/>
      <c r="G628" s="42"/>
      <c r="H628" s="43"/>
      <c r="I628" s="29"/>
      <c r="J628" s="29"/>
      <c r="K628" s="29"/>
      <c r="L628" s="29"/>
      <c r="M628" s="29"/>
      <c r="N628" s="44"/>
      <c r="O628" s="29"/>
      <c r="P628" s="29"/>
      <c r="Q628" s="29"/>
      <c r="R628" s="44"/>
      <c r="S628" s="29"/>
      <c r="T628" s="29"/>
    </row>
    <row r="629" spans="2:20" ht="15.6" x14ac:dyDescent="0.3">
      <c r="B629" s="27"/>
      <c r="C629" s="27"/>
      <c r="D629" s="27"/>
      <c r="E629" s="27"/>
      <c r="F629" s="27"/>
      <c r="G629" s="42"/>
      <c r="H629" s="43"/>
      <c r="I629" s="29"/>
      <c r="J629" s="29"/>
      <c r="K629" s="29"/>
      <c r="L629" s="29"/>
      <c r="M629" s="29"/>
      <c r="N629" s="44"/>
      <c r="O629" s="29"/>
      <c r="P629" s="29"/>
      <c r="Q629" s="29"/>
      <c r="R629" s="44"/>
      <c r="S629" s="29"/>
      <c r="T629" s="29"/>
    </row>
    <row r="630" spans="2:20" ht="15.6" x14ac:dyDescent="0.3">
      <c r="B630" s="32">
        <v>1</v>
      </c>
      <c r="C630" s="32" t="s">
        <v>898</v>
      </c>
      <c r="D630" s="33" t="s">
        <v>899</v>
      </c>
      <c r="E630" s="34">
        <v>45291</v>
      </c>
      <c r="F630" s="35">
        <v>979.00301999999999</v>
      </c>
      <c r="G630" s="36">
        <v>10</v>
      </c>
      <c r="H630" s="37">
        <f t="shared" ref="H630:H641" si="127">+F630/G630</f>
        <v>97.900301999999996</v>
      </c>
      <c r="I630" s="35">
        <v>18237.346000000001</v>
      </c>
      <c r="J630" s="35">
        <v>36693.445</v>
      </c>
      <c r="K630" s="35">
        <v>55475.27</v>
      </c>
      <c r="L630" s="35">
        <v>30.29</v>
      </c>
      <c r="M630" s="35">
        <v>2589.7220000000002</v>
      </c>
      <c r="N630" s="37">
        <f t="shared" ref="N630:N641" si="128">+M630-O630</f>
        <v>2327.9450000000002</v>
      </c>
      <c r="O630" s="35">
        <v>261.77699999999999</v>
      </c>
      <c r="P630" s="38">
        <v>0</v>
      </c>
      <c r="Q630" s="38">
        <v>0</v>
      </c>
      <c r="R630" s="39">
        <f t="shared" ref="R630:R641" si="129">SUM(P630:Q630)</f>
        <v>0</v>
      </c>
      <c r="S630" s="38"/>
      <c r="T630" s="40">
        <v>2619</v>
      </c>
    </row>
    <row r="631" spans="2:20" ht="15.6" x14ac:dyDescent="0.3">
      <c r="B631" s="32">
        <f>+B630+1</f>
        <v>2</v>
      </c>
      <c r="C631" s="32" t="s">
        <v>900</v>
      </c>
      <c r="D631" s="33" t="s">
        <v>901</v>
      </c>
      <c r="E631" s="34">
        <v>45291</v>
      </c>
      <c r="F631" s="35">
        <v>2800</v>
      </c>
      <c r="G631" s="36">
        <v>10</v>
      </c>
      <c r="H631" s="37">
        <f t="shared" si="127"/>
        <v>280</v>
      </c>
      <c r="I631" s="35">
        <v>10853.471</v>
      </c>
      <c r="J631" s="35">
        <v>17086.365000000002</v>
      </c>
      <c r="K631" s="35">
        <v>13857.77</v>
      </c>
      <c r="L631" s="35">
        <v>586.04499999999996</v>
      </c>
      <c r="M631" s="35">
        <v>1722.74</v>
      </c>
      <c r="N631" s="37">
        <f t="shared" si="128"/>
        <v>532.55400000000009</v>
      </c>
      <c r="O631" s="35">
        <v>1190.1859999999999</v>
      </c>
      <c r="P631" s="38">
        <v>25</v>
      </c>
      <c r="Q631" s="38">
        <v>0</v>
      </c>
      <c r="R631" s="39">
        <f t="shared" si="129"/>
        <v>25</v>
      </c>
      <c r="S631" s="38"/>
      <c r="T631" s="40">
        <v>3250</v>
      </c>
    </row>
    <row r="632" spans="2:20" ht="15.6" x14ac:dyDescent="0.3">
      <c r="B632" s="32">
        <f t="shared" ref="B632:B641" si="130">+B631+1</f>
        <v>3</v>
      </c>
      <c r="C632" s="32" t="s">
        <v>902</v>
      </c>
      <c r="D632" s="33" t="s">
        <v>903</v>
      </c>
      <c r="E632" s="34">
        <v>45107</v>
      </c>
      <c r="F632" s="35">
        <f>228.4612*G632</f>
        <v>2284.6120000000001</v>
      </c>
      <c r="G632" s="36">
        <v>10</v>
      </c>
      <c r="H632" s="37">
        <f t="shared" si="127"/>
        <v>228.46120000000002</v>
      </c>
      <c r="I632" s="35">
        <v>5373.0733099999998</v>
      </c>
      <c r="J632" s="35">
        <v>9984.1646139999993</v>
      </c>
      <c r="K632" s="35">
        <v>12396.982521</v>
      </c>
      <c r="L632" s="35">
        <v>386.23357800000002</v>
      </c>
      <c r="M632" s="35">
        <v>957.25434399999995</v>
      </c>
      <c r="N632" s="37">
        <f t="shared" si="128"/>
        <v>299.26998399999991</v>
      </c>
      <c r="O632" s="35">
        <v>657.98436000000004</v>
      </c>
      <c r="P632" s="38">
        <v>25</v>
      </c>
      <c r="Q632" s="38">
        <v>0</v>
      </c>
      <c r="R632" s="39">
        <f t="shared" si="129"/>
        <v>25</v>
      </c>
      <c r="S632" s="38"/>
      <c r="T632" s="40">
        <v>9423</v>
      </c>
    </row>
    <row r="633" spans="2:20" ht="15.6" x14ac:dyDescent="0.3">
      <c r="B633" s="32">
        <f t="shared" si="130"/>
        <v>4</v>
      </c>
      <c r="C633" s="32" t="s">
        <v>904</v>
      </c>
      <c r="D633" s="33" t="s">
        <v>905</v>
      </c>
      <c r="E633" s="34">
        <v>45107</v>
      </c>
      <c r="F633" s="35">
        <f>43.469051*G633</f>
        <v>434.69051000000002</v>
      </c>
      <c r="G633" s="36">
        <v>10</v>
      </c>
      <c r="H633" s="37">
        <f t="shared" si="127"/>
        <v>43.469051</v>
      </c>
      <c r="I633" s="35">
        <v>6284.6926439999997</v>
      </c>
      <c r="J633" s="35">
        <v>10695.423819</v>
      </c>
      <c r="K633" s="35">
        <v>9893.3909220000005</v>
      </c>
      <c r="L633" s="35">
        <v>158.362247</v>
      </c>
      <c r="M633" s="35">
        <v>275.33169700000002</v>
      </c>
      <c r="N633" s="37">
        <f t="shared" si="128"/>
        <v>86.289226000000014</v>
      </c>
      <c r="O633" s="35">
        <v>189.04247100000001</v>
      </c>
      <c r="P633" s="38">
        <v>0</v>
      </c>
      <c r="Q633" s="38">
        <v>0</v>
      </c>
      <c r="R633" s="39">
        <f t="shared" si="129"/>
        <v>0</v>
      </c>
      <c r="S633" s="38"/>
      <c r="T633" s="40">
        <v>4196</v>
      </c>
    </row>
    <row r="634" spans="2:20" ht="15.6" x14ac:dyDescent="0.3">
      <c r="B634" s="32">
        <f t="shared" si="130"/>
        <v>5</v>
      </c>
      <c r="C634" s="32" t="s">
        <v>906</v>
      </c>
      <c r="D634" s="33" t="s">
        <v>907</v>
      </c>
      <c r="E634" s="34">
        <v>45291</v>
      </c>
      <c r="F634" s="35">
        <v>3184.672</v>
      </c>
      <c r="G634" s="36">
        <v>10</v>
      </c>
      <c r="H634" s="37">
        <f t="shared" si="127"/>
        <v>318.46719999999999</v>
      </c>
      <c r="I634" s="35">
        <v>21675.841</v>
      </c>
      <c r="J634" s="35">
        <v>38130.898999999998</v>
      </c>
      <c r="K634" s="35">
        <v>49661.277000000002</v>
      </c>
      <c r="L634" s="35">
        <v>62.996000000000002</v>
      </c>
      <c r="M634" s="35">
        <v>2177.3000000000002</v>
      </c>
      <c r="N634" s="37">
        <f t="shared" si="128"/>
        <v>1643.3470000000002</v>
      </c>
      <c r="O634" s="35">
        <v>533.95299999999997</v>
      </c>
      <c r="P634" s="38">
        <v>0</v>
      </c>
      <c r="Q634" s="38">
        <v>0</v>
      </c>
      <c r="R634" s="39">
        <f t="shared" si="129"/>
        <v>0</v>
      </c>
      <c r="S634" s="38"/>
      <c r="T634" s="40">
        <v>7009</v>
      </c>
    </row>
    <row r="635" spans="2:20" ht="15.6" x14ac:dyDescent="0.3">
      <c r="B635" s="32">
        <f t="shared" si="130"/>
        <v>6</v>
      </c>
      <c r="C635" s="32" t="s">
        <v>908</v>
      </c>
      <c r="D635" s="33" t="s">
        <v>909</v>
      </c>
      <c r="E635" s="34">
        <v>45291</v>
      </c>
      <c r="F635" s="35">
        <v>1170.5450800000001</v>
      </c>
      <c r="G635" s="36">
        <v>10</v>
      </c>
      <c r="H635" s="37">
        <f t="shared" si="127"/>
        <v>117.05450800000001</v>
      </c>
      <c r="I635" s="35">
        <v>8022.7659999999996</v>
      </c>
      <c r="J635" s="35">
        <v>18244.73</v>
      </c>
      <c r="K635" s="35">
        <v>31609.776000000002</v>
      </c>
      <c r="L635" s="35">
        <v>235.965</v>
      </c>
      <c r="M635" s="35">
        <v>1846.133</v>
      </c>
      <c r="N635" s="37">
        <f t="shared" si="128"/>
        <v>850.54700000000003</v>
      </c>
      <c r="O635" s="35">
        <v>995.58600000000001</v>
      </c>
      <c r="P635" s="38">
        <v>0</v>
      </c>
      <c r="Q635" s="38">
        <v>0</v>
      </c>
      <c r="R635" s="39">
        <f t="shared" si="129"/>
        <v>0</v>
      </c>
      <c r="S635" s="38"/>
      <c r="T635" s="40">
        <v>4366</v>
      </c>
    </row>
    <row r="636" spans="2:20" ht="15.6" x14ac:dyDescent="0.3">
      <c r="B636" s="32">
        <f t="shared" si="130"/>
        <v>7</v>
      </c>
      <c r="C636" s="32" t="s">
        <v>910</v>
      </c>
      <c r="D636" s="33" t="s">
        <v>911</v>
      </c>
      <c r="E636" s="34">
        <v>45291</v>
      </c>
      <c r="F636" s="35">
        <v>529.83362999999997</v>
      </c>
      <c r="G636" s="36">
        <v>10</v>
      </c>
      <c r="H636" s="37">
        <f t="shared" si="127"/>
        <v>52.983362999999997</v>
      </c>
      <c r="I636" s="35">
        <v>9596.6993039999998</v>
      </c>
      <c r="J636" s="35">
        <v>14025.831252</v>
      </c>
      <c r="K636" s="35">
        <v>19424.254601000001</v>
      </c>
      <c r="L636" s="35">
        <v>136.47409999999999</v>
      </c>
      <c r="M636" s="35">
        <v>3302.5847170000002</v>
      </c>
      <c r="N636" s="37">
        <f t="shared" si="128"/>
        <v>899.57081300000027</v>
      </c>
      <c r="O636" s="35">
        <v>2403.0139039999999</v>
      </c>
      <c r="P636" s="38">
        <v>300</v>
      </c>
      <c r="Q636" s="38">
        <f>15</f>
        <v>15</v>
      </c>
      <c r="R636" s="39">
        <f t="shared" si="129"/>
        <v>315</v>
      </c>
      <c r="S636" s="38"/>
      <c r="T636" s="40">
        <v>3866</v>
      </c>
    </row>
    <row r="637" spans="2:20" ht="15.6" x14ac:dyDescent="0.3">
      <c r="B637" s="32">
        <f t="shared" si="130"/>
        <v>8</v>
      </c>
      <c r="C637" s="32" t="s">
        <v>912</v>
      </c>
      <c r="D637" s="33" t="s">
        <v>913</v>
      </c>
      <c r="E637" s="34">
        <v>45291</v>
      </c>
      <c r="F637" s="35">
        <v>96.447999999999993</v>
      </c>
      <c r="G637" s="36">
        <v>10</v>
      </c>
      <c r="H637" s="37">
        <f t="shared" si="127"/>
        <v>9.6448</v>
      </c>
      <c r="I637" s="35">
        <v>5471.4380000000001</v>
      </c>
      <c r="J637" s="35">
        <v>9870.3619999999992</v>
      </c>
      <c r="K637" s="35">
        <v>21368.949000000001</v>
      </c>
      <c r="L637" s="35">
        <v>174.773</v>
      </c>
      <c r="M637" s="35">
        <v>916.09900000000005</v>
      </c>
      <c r="N637" s="37">
        <f t="shared" si="128"/>
        <v>555.29200000000003</v>
      </c>
      <c r="O637" s="35">
        <v>360.80700000000002</v>
      </c>
      <c r="P637" s="38">
        <v>300</v>
      </c>
      <c r="Q637" s="38">
        <v>0</v>
      </c>
      <c r="R637" s="39">
        <f t="shared" si="129"/>
        <v>300</v>
      </c>
      <c r="S637" s="38"/>
      <c r="T637" s="40">
        <v>928</v>
      </c>
    </row>
    <row r="638" spans="2:20" ht="15.6" x14ac:dyDescent="0.3">
      <c r="B638" s="32">
        <f t="shared" si="130"/>
        <v>9</v>
      </c>
      <c r="C638" s="32" t="s">
        <v>914</v>
      </c>
      <c r="D638" s="33" t="s">
        <v>915</v>
      </c>
      <c r="E638" s="34">
        <v>45107</v>
      </c>
      <c r="F638" s="35">
        <f>71.395639*G638</f>
        <v>713.95639000000006</v>
      </c>
      <c r="G638" s="36">
        <v>10</v>
      </c>
      <c r="H638" s="37">
        <f t="shared" si="127"/>
        <v>71.395639000000003</v>
      </c>
      <c r="I638" s="35">
        <v>2107.1239999999998</v>
      </c>
      <c r="J638" s="35">
        <v>3553.2719999999999</v>
      </c>
      <c r="K638" s="35">
        <v>4027.8739999999998</v>
      </c>
      <c r="L638" s="35">
        <v>65.739000000000004</v>
      </c>
      <c r="M638" s="35">
        <v>458.83300000000003</v>
      </c>
      <c r="N638" s="37">
        <f t="shared" si="128"/>
        <v>149.87</v>
      </c>
      <c r="O638" s="35">
        <v>308.96300000000002</v>
      </c>
      <c r="P638" s="38">
        <v>0</v>
      </c>
      <c r="Q638" s="38">
        <v>20</v>
      </c>
      <c r="R638" s="39">
        <f t="shared" si="129"/>
        <v>20</v>
      </c>
      <c r="S638" s="38"/>
      <c r="T638" s="40">
        <v>5041</v>
      </c>
    </row>
    <row r="639" spans="2:20" ht="15.6" x14ac:dyDescent="0.3">
      <c r="B639" s="32">
        <f t="shared" si="130"/>
        <v>10</v>
      </c>
      <c r="C639" s="32" t="s">
        <v>916</v>
      </c>
      <c r="D639" s="33" t="s">
        <v>917</v>
      </c>
      <c r="E639" s="34">
        <v>45107</v>
      </c>
      <c r="F639" s="35">
        <v>458.11099999999999</v>
      </c>
      <c r="G639" s="36">
        <v>10</v>
      </c>
      <c r="H639" s="37">
        <f t="shared" si="127"/>
        <v>45.811099999999996</v>
      </c>
      <c r="I639" s="35">
        <v>2870.6930000000002</v>
      </c>
      <c r="J639" s="35">
        <v>4923.4049999999997</v>
      </c>
      <c r="K639" s="35">
        <v>6680.3909999999996</v>
      </c>
      <c r="L639" s="35">
        <v>61.371000000000002</v>
      </c>
      <c r="M639" s="35">
        <v>556.83500000000004</v>
      </c>
      <c r="N639" s="37">
        <f t="shared" si="128"/>
        <v>163.96700000000004</v>
      </c>
      <c r="O639" s="35">
        <v>392.86799999999999</v>
      </c>
      <c r="P639" s="38">
        <f>5.4+5.4</f>
        <v>10.8</v>
      </c>
      <c r="Q639" s="38">
        <v>0</v>
      </c>
      <c r="R639" s="39">
        <f t="shared" si="129"/>
        <v>10.8</v>
      </c>
      <c r="S639" s="38"/>
      <c r="T639" s="40">
        <v>1114</v>
      </c>
    </row>
    <row r="640" spans="2:20" ht="15.6" x14ac:dyDescent="0.3">
      <c r="B640" s="32">
        <f t="shared" si="130"/>
        <v>11</v>
      </c>
      <c r="C640" s="32" t="s">
        <v>918</v>
      </c>
      <c r="D640" s="33" t="s">
        <v>919</v>
      </c>
      <c r="E640" s="34">
        <v>45107</v>
      </c>
      <c r="F640" s="35">
        <v>121</v>
      </c>
      <c r="G640" s="36">
        <v>10</v>
      </c>
      <c r="H640" s="37">
        <f t="shared" si="127"/>
        <v>12.1</v>
      </c>
      <c r="I640" s="35">
        <v>697.52300000000002</v>
      </c>
      <c r="J640" s="35">
        <v>2288.9639999999999</v>
      </c>
      <c r="K640" s="35">
        <v>3035.0650000000001</v>
      </c>
      <c r="L640" s="35">
        <v>64.222999999999999</v>
      </c>
      <c r="M640" s="35">
        <v>-28.352</v>
      </c>
      <c r="N640" s="37">
        <f t="shared" si="128"/>
        <v>-21.145</v>
      </c>
      <c r="O640" s="35">
        <v>-7.2069999999999999</v>
      </c>
      <c r="P640" s="38">
        <v>15</v>
      </c>
      <c r="Q640" s="38">
        <v>0</v>
      </c>
      <c r="R640" s="39">
        <f t="shared" si="129"/>
        <v>15</v>
      </c>
      <c r="S640" s="38"/>
      <c r="T640" s="40">
        <v>910</v>
      </c>
    </row>
    <row r="641" spans="2:20" ht="15.6" x14ac:dyDescent="0.3">
      <c r="B641" s="32">
        <f t="shared" si="130"/>
        <v>12</v>
      </c>
      <c r="C641" s="32" t="s">
        <v>920</v>
      </c>
      <c r="D641" s="33" t="s">
        <v>921</v>
      </c>
      <c r="E641" s="34">
        <v>45107</v>
      </c>
      <c r="F641" s="35">
        <v>3900.6585500000001</v>
      </c>
      <c r="G641" s="36">
        <v>10</v>
      </c>
      <c r="H641" s="37">
        <f t="shared" si="127"/>
        <v>390.065855</v>
      </c>
      <c r="I641" s="35">
        <v>27668.758999999998</v>
      </c>
      <c r="J641" s="35">
        <v>50800.305999999997</v>
      </c>
      <c r="K641" s="35">
        <v>21641.281999999999</v>
      </c>
      <c r="L641" s="35">
        <v>3348.1039999999998</v>
      </c>
      <c r="M641" s="35">
        <v>409.83499999999998</v>
      </c>
      <c r="N641" s="37">
        <f t="shared" si="128"/>
        <v>107.69799999999998</v>
      </c>
      <c r="O641" s="35">
        <v>302.137</v>
      </c>
      <c r="P641" s="38">
        <v>0</v>
      </c>
      <c r="Q641" s="38">
        <v>0</v>
      </c>
      <c r="R641" s="39">
        <f t="shared" si="129"/>
        <v>0</v>
      </c>
      <c r="S641" s="38">
        <v>31.1302746</v>
      </c>
      <c r="T641" s="40">
        <v>17470</v>
      </c>
    </row>
    <row r="642" spans="2:20" ht="15.6" x14ac:dyDescent="0.3">
      <c r="B642" s="27"/>
      <c r="C642" s="27"/>
      <c r="D642" s="27"/>
      <c r="E642" s="27"/>
      <c r="F642" s="27"/>
      <c r="G642" s="42"/>
      <c r="H642" s="43"/>
      <c r="I642" s="29"/>
      <c r="J642" s="29"/>
      <c r="K642" s="29"/>
      <c r="L642" s="29"/>
      <c r="M642" s="29"/>
      <c r="N642" s="44"/>
      <c r="O642" s="29"/>
      <c r="P642" s="29"/>
      <c r="Q642" s="29"/>
      <c r="R642" s="44"/>
      <c r="S642" s="29"/>
      <c r="T642" s="29"/>
    </row>
    <row r="643" spans="2:20" ht="15.6" x14ac:dyDescent="0.3">
      <c r="B643" s="46">
        <f>COUNT(B630:B642)</f>
        <v>12</v>
      </c>
      <c r="C643" s="46"/>
      <c r="D643" s="47"/>
      <c r="E643" s="47"/>
      <c r="F643" s="47">
        <f>SUM(F630:F642)</f>
        <v>16673.530180000002</v>
      </c>
      <c r="G643" s="48"/>
      <c r="H643" s="49">
        <f t="shared" ref="H643:O643" si="131">SUM(H630:H642)</f>
        <v>1667.353018</v>
      </c>
      <c r="I643" s="47">
        <f t="shared" si="131"/>
        <v>118859.42625799999</v>
      </c>
      <c r="J643" s="47">
        <f t="shared" si="131"/>
        <v>216297.16768499999</v>
      </c>
      <c r="K643" s="47">
        <f t="shared" si="131"/>
        <v>249072.28204400002</v>
      </c>
      <c r="L643" s="47">
        <f t="shared" si="131"/>
        <v>5310.5759249999992</v>
      </c>
      <c r="M643" s="47">
        <f t="shared" si="131"/>
        <v>15184.315757999999</v>
      </c>
      <c r="N643" s="50">
        <f t="shared" si="131"/>
        <v>7595.2050230000013</v>
      </c>
      <c r="O643" s="47">
        <f t="shared" si="131"/>
        <v>7589.1107350000002</v>
      </c>
      <c r="P643" s="51"/>
      <c r="Q643" s="51"/>
      <c r="R643" s="52"/>
      <c r="S643" s="51"/>
      <c r="T643" s="53">
        <f>SUM(T630:T642)</f>
        <v>60192</v>
      </c>
    </row>
    <row r="644" spans="2:20" ht="15.6" x14ac:dyDescent="0.3">
      <c r="B644" s="27"/>
      <c r="C644" s="27"/>
      <c r="D644" s="27"/>
      <c r="E644" s="27"/>
      <c r="F644" s="27"/>
      <c r="G644" s="42"/>
      <c r="H644" s="43"/>
      <c r="I644" s="29"/>
      <c r="J644" s="29"/>
      <c r="K644" s="29"/>
      <c r="L644" s="29"/>
      <c r="M644" s="29"/>
      <c r="N644" s="44"/>
      <c r="O644" s="29"/>
      <c r="P644" s="29"/>
      <c r="Q644" s="29"/>
      <c r="R644" s="44"/>
      <c r="S644" s="29"/>
      <c r="T644" s="29"/>
    </row>
    <row r="645" spans="2:20" ht="15.6" x14ac:dyDescent="0.3">
      <c r="B645" s="27"/>
      <c r="C645" s="27"/>
      <c r="D645" s="27"/>
      <c r="E645" s="27"/>
      <c r="F645" s="27"/>
      <c r="G645" s="42"/>
      <c r="H645" s="43"/>
      <c r="I645" s="29"/>
      <c r="J645" s="29"/>
      <c r="K645" s="29"/>
      <c r="L645" s="29"/>
      <c r="M645" s="29"/>
      <c r="N645" s="44"/>
      <c r="O645" s="29"/>
      <c r="P645" s="29"/>
      <c r="Q645" s="29"/>
      <c r="R645" s="44"/>
      <c r="S645" s="29"/>
      <c r="T645" s="29"/>
    </row>
    <row r="646" spans="2:20" ht="18" x14ac:dyDescent="0.35">
      <c r="B646" s="27"/>
      <c r="C646" s="31">
        <v>30</v>
      </c>
      <c r="D646" s="31" t="s">
        <v>922</v>
      </c>
      <c r="E646" s="60"/>
      <c r="F646" s="60"/>
      <c r="G646" s="42"/>
      <c r="H646" s="43"/>
      <c r="I646" s="29"/>
      <c r="J646" s="29"/>
      <c r="K646" s="29"/>
      <c r="L646" s="29"/>
      <c r="M646" s="29"/>
      <c r="N646" s="44"/>
      <c r="O646" s="29"/>
      <c r="P646" s="29"/>
      <c r="Q646" s="29"/>
      <c r="R646" s="44"/>
      <c r="S646" s="29"/>
      <c r="T646" s="29"/>
    </row>
    <row r="647" spans="2:20" ht="15.6" x14ac:dyDescent="0.3">
      <c r="B647" s="27"/>
      <c r="C647" s="27"/>
      <c r="D647" s="27"/>
      <c r="E647" s="27"/>
      <c r="F647" s="27"/>
      <c r="G647" s="42"/>
      <c r="H647" s="43"/>
      <c r="I647" s="29"/>
      <c r="J647" s="29"/>
      <c r="K647" s="29"/>
      <c r="L647" s="29"/>
      <c r="M647" s="29"/>
      <c r="N647" s="44"/>
      <c r="O647" s="29"/>
      <c r="P647" s="29"/>
      <c r="Q647" s="29"/>
      <c r="R647" s="44"/>
      <c r="S647" s="29"/>
      <c r="T647" s="29"/>
    </row>
    <row r="648" spans="2:20" ht="15.6" x14ac:dyDescent="0.3">
      <c r="B648" s="59">
        <v>1</v>
      </c>
      <c r="C648" s="59" t="s">
        <v>923</v>
      </c>
      <c r="D648" s="33" t="s">
        <v>924</v>
      </c>
      <c r="E648" s="34">
        <v>45291</v>
      </c>
      <c r="F648" s="35">
        <v>3924.3</v>
      </c>
      <c r="G648" s="36">
        <v>10</v>
      </c>
      <c r="H648" s="37">
        <f t="shared" ref="H648:H670" si="132">+F648/G648</f>
        <v>392.43</v>
      </c>
      <c r="I648" s="35">
        <v>13072.569233</v>
      </c>
      <c r="J648" s="35">
        <v>84727.537599000003</v>
      </c>
      <c r="K648" s="35">
        <v>22172.162439</v>
      </c>
      <c r="L648" s="35">
        <v>6097.5844010000001</v>
      </c>
      <c r="M648" s="35">
        <v>847.43791899999997</v>
      </c>
      <c r="N648" s="37">
        <f t="shared" ref="N648:N670" si="133">+M648-O648</f>
        <v>-238.35390600000005</v>
      </c>
      <c r="O648" s="35">
        <v>1085.791825</v>
      </c>
      <c r="P648" s="38">
        <v>0</v>
      </c>
      <c r="Q648" s="38">
        <v>0</v>
      </c>
      <c r="R648" s="39">
        <f t="shared" ref="R648:R670" si="134">SUM(P648:Q648)</f>
        <v>0</v>
      </c>
      <c r="S648" s="38"/>
      <c r="T648" s="40">
        <v>2276</v>
      </c>
    </row>
    <row r="649" spans="2:20" ht="15.6" x14ac:dyDescent="0.3">
      <c r="B649" s="59">
        <f>+B648+1</f>
        <v>2</v>
      </c>
      <c r="C649" s="59" t="s">
        <v>925</v>
      </c>
      <c r="D649" s="33" t="s">
        <v>926</v>
      </c>
      <c r="E649" s="34">
        <v>45199</v>
      </c>
      <c r="F649" s="35">
        <v>341.17899999999997</v>
      </c>
      <c r="G649" s="36">
        <v>10</v>
      </c>
      <c r="H649" s="37">
        <f t="shared" si="132"/>
        <v>34.117899999999999</v>
      </c>
      <c r="I649" s="35">
        <v>4334.13</v>
      </c>
      <c r="J649" s="35">
        <v>20446.377</v>
      </c>
      <c r="K649" s="35">
        <v>30012.733</v>
      </c>
      <c r="L649" s="35">
        <v>1262.2750000000001</v>
      </c>
      <c r="M649" s="35">
        <v>2240.9839999999999</v>
      </c>
      <c r="N649" s="37">
        <f t="shared" si="133"/>
        <v>996.60199999999986</v>
      </c>
      <c r="O649" s="35">
        <v>1244.3820000000001</v>
      </c>
      <c r="P649" s="38">
        <v>0</v>
      </c>
      <c r="Q649" s="38">
        <v>0</v>
      </c>
      <c r="R649" s="39">
        <f t="shared" si="134"/>
        <v>0</v>
      </c>
      <c r="S649" s="38"/>
      <c r="T649" s="40">
        <v>1912</v>
      </c>
    </row>
    <row r="650" spans="2:20" ht="15.6" x14ac:dyDescent="0.3">
      <c r="B650" s="59">
        <f t="shared" ref="B650:B657" si="135">+B649+1</f>
        <v>3</v>
      </c>
      <c r="C650" s="32" t="s">
        <v>927</v>
      </c>
      <c r="D650" s="33" t="s">
        <v>928</v>
      </c>
      <c r="E650" s="34">
        <v>45107</v>
      </c>
      <c r="F650" s="35">
        <v>245.51599999999999</v>
      </c>
      <c r="G650" s="36">
        <v>10</v>
      </c>
      <c r="H650" s="37">
        <f t="shared" si="132"/>
        <v>24.551600000000001</v>
      </c>
      <c r="I650" s="35">
        <v>3195.8029999999999</v>
      </c>
      <c r="J650" s="35">
        <v>6612.759</v>
      </c>
      <c r="K650" s="35">
        <v>7341.165</v>
      </c>
      <c r="L650" s="35">
        <v>283.54500000000002</v>
      </c>
      <c r="M650" s="35">
        <v>331.197</v>
      </c>
      <c r="N650" s="37">
        <f t="shared" si="133"/>
        <v>91.135999999999996</v>
      </c>
      <c r="O650" s="35">
        <v>240.06100000000001</v>
      </c>
      <c r="P650" s="38">
        <v>0</v>
      </c>
      <c r="Q650" s="38">
        <f>20</f>
        <v>20</v>
      </c>
      <c r="R650" s="39">
        <f t="shared" si="134"/>
        <v>20</v>
      </c>
      <c r="S650" s="38"/>
      <c r="T650" s="40">
        <v>1972</v>
      </c>
    </row>
    <row r="651" spans="2:20" ht="15.6" x14ac:dyDescent="0.3">
      <c r="B651" s="59">
        <f t="shared" si="135"/>
        <v>4</v>
      </c>
      <c r="C651" s="59" t="s">
        <v>929</v>
      </c>
      <c r="D651" s="33" t="s">
        <v>930</v>
      </c>
      <c r="E651" s="34">
        <v>45107</v>
      </c>
      <c r="F651" s="35">
        <v>463.82688000000002</v>
      </c>
      <c r="G651" s="36">
        <v>10</v>
      </c>
      <c r="H651" s="37">
        <f t="shared" si="132"/>
        <v>46.382688000000002</v>
      </c>
      <c r="I651" s="35">
        <v>2931.6516369999999</v>
      </c>
      <c r="J651" s="35">
        <f>2310.20195+1771.973467</f>
        <v>4082.1754170000004</v>
      </c>
      <c r="K651" s="35">
        <v>2713.0980890000001</v>
      </c>
      <c r="L651" s="35">
        <v>76.426235000000005</v>
      </c>
      <c r="M651" s="35">
        <v>839.82252100000005</v>
      </c>
      <c r="N651" s="37">
        <f t="shared" si="133"/>
        <v>232.14356600000008</v>
      </c>
      <c r="O651" s="35">
        <v>607.67895499999997</v>
      </c>
      <c r="P651" s="38">
        <f>23+30</f>
        <v>53</v>
      </c>
      <c r="Q651" s="38">
        <v>0</v>
      </c>
      <c r="R651" s="39">
        <f t="shared" si="134"/>
        <v>53</v>
      </c>
      <c r="S651" s="38"/>
      <c r="T651" s="40">
        <v>1885</v>
      </c>
    </row>
    <row r="652" spans="2:20" ht="15.6" x14ac:dyDescent="0.3">
      <c r="B652" s="59">
        <f t="shared" si="135"/>
        <v>5</v>
      </c>
      <c r="C652" s="32" t="s">
        <v>931</v>
      </c>
      <c r="D652" s="33" t="s">
        <v>932</v>
      </c>
      <c r="E652" s="34">
        <v>45107</v>
      </c>
      <c r="F652" s="35">
        <f>1.44*G652</f>
        <v>14.399999999999999</v>
      </c>
      <c r="G652" s="36">
        <v>10</v>
      </c>
      <c r="H652" s="37">
        <f t="shared" si="132"/>
        <v>1.44</v>
      </c>
      <c r="I652" s="35">
        <v>180.38200000000001</v>
      </c>
      <c r="J652" s="35">
        <v>490.31299999999999</v>
      </c>
      <c r="K652" s="35">
        <v>577.07600000000002</v>
      </c>
      <c r="L652" s="35">
        <v>8.6910000000000007</v>
      </c>
      <c r="M652" s="35">
        <v>9.93</v>
      </c>
      <c r="N652" s="37">
        <f t="shared" si="133"/>
        <v>7.2129999999999992</v>
      </c>
      <c r="O652" s="35">
        <v>2.7170000000000001</v>
      </c>
      <c r="P652" s="38">
        <v>0</v>
      </c>
      <c r="Q652" s="38">
        <v>0</v>
      </c>
      <c r="R652" s="39">
        <f t="shared" si="134"/>
        <v>0</v>
      </c>
      <c r="S652" s="38"/>
      <c r="T652" s="40"/>
    </row>
    <row r="653" spans="2:20" ht="15.6" x14ac:dyDescent="0.3">
      <c r="B653" s="59">
        <f t="shared" si="135"/>
        <v>6</v>
      </c>
      <c r="C653" s="59" t="s">
        <v>933</v>
      </c>
      <c r="D653" s="33" t="s">
        <v>934</v>
      </c>
      <c r="E653" s="34">
        <v>45107</v>
      </c>
      <c r="F653" s="35">
        <v>2427.73288</v>
      </c>
      <c r="G653" s="36">
        <v>10</v>
      </c>
      <c r="H653" s="37">
        <f t="shared" si="132"/>
        <v>242.77328800000001</v>
      </c>
      <c r="I653" s="35">
        <v>24316.848000000002</v>
      </c>
      <c r="J653" s="35">
        <v>47446.553999999996</v>
      </c>
      <c r="K653" s="35">
        <v>91459.504000000001</v>
      </c>
      <c r="L653" s="35">
        <v>150.68199999999999</v>
      </c>
      <c r="M653" s="35">
        <v>16533.936000000002</v>
      </c>
      <c r="N653" s="37">
        <f t="shared" si="133"/>
        <v>6123.9420000000009</v>
      </c>
      <c r="O653" s="35">
        <v>10409.994000000001</v>
      </c>
      <c r="P653" s="38">
        <f>200+400+50</f>
        <v>650</v>
      </c>
      <c r="Q653" s="38">
        <f>45+100</f>
        <v>145</v>
      </c>
      <c r="R653" s="39">
        <f t="shared" si="134"/>
        <v>795</v>
      </c>
      <c r="S653" s="38"/>
      <c r="T653" s="40">
        <v>2681</v>
      </c>
    </row>
    <row r="654" spans="2:20" ht="15.6" x14ac:dyDescent="0.3">
      <c r="B654" s="59">
        <f t="shared" si="135"/>
        <v>7</v>
      </c>
      <c r="C654" s="32" t="s">
        <v>935</v>
      </c>
      <c r="D654" s="33" t="s">
        <v>936</v>
      </c>
      <c r="E654" s="34">
        <v>45107</v>
      </c>
      <c r="F654" s="35">
        <v>40</v>
      </c>
      <c r="G654" s="36">
        <v>10</v>
      </c>
      <c r="H654" s="37">
        <f t="shared" si="132"/>
        <v>4</v>
      </c>
      <c r="I654" s="35">
        <f>188.712831+24.378943</f>
        <v>213.09177399999999</v>
      </c>
      <c r="J654" s="35">
        <v>399.58247299999999</v>
      </c>
      <c r="K654" s="35">
        <v>214.572969</v>
      </c>
      <c r="L654" s="35">
        <v>7.4459770000000001</v>
      </c>
      <c r="M654" s="35">
        <v>16.237967000000001</v>
      </c>
      <c r="N654" s="37">
        <f t="shared" si="133"/>
        <v>-0.58237199999999945</v>
      </c>
      <c r="O654" s="35">
        <v>16.820339000000001</v>
      </c>
      <c r="P654" s="38">
        <v>0</v>
      </c>
      <c r="Q654" s="38">
        <v>0</v>
      </c>
      <c r="R654" s="39">
        <f t="shared" si="134"/>
        <v>0</v>
      </c>
      <c r="S654" s="38"/>
      <c r="T654" s="40">
        <v>2122</v>
      </c>
    </row>
    <row r="655" spans="2:20" ht="15.6" x14ac:dyDescent="0.3">
      <c r="B655" s="59">
        <f t="shared" si="135"/>
        <v>8</v>
      </c>
      <c r="C655" s="59" t="s">
        <v>937</v>
      </c>
      <c r="D655" s="33" t="s">
        <v>938</v>
      </c>
      <c r="E655" s="34">
        <v>45107</v>
      </c>
      <c r="F655" s="35">
        <v>1750.3108400000001</v>
      </c>
      <c r="G655" s="36">
        <v>10</v>
      </c>
      <c r="H655" s="37">
        <f t="shared" si="132"/>
        <v>175.03108400000002</v>
      </c>
      <c r="I655" s="35">
        <v>3059.4830000000002</v>
      </c>
      <c r="J655" s="35">
        <v>5035.83</v>
      </c>
      <c r="K655" s="35">
        <v>6721.3459999999995</v>
      </c>
      <c r="L655" s="35">
        <v>25.928999999999998</v>
      </c>
      <c r="M655" s="35">
        <v>2223.942</v>
      </c>
      <c r="N655" s="37">
        <f t="shared" si="133"/>
        <v>823.30799999999999</v>
      </c>
      <c r="O655" s="35">
        <v>1400.634</v>
      </c>
      <c r="P655" s="38">
        <f>20+20</f>
        <v>40</v>
      </c>
      <c r="Q655" s="38">
        <v>0</v>
      </c>
      <c r="R655" s="39">
        <f t="shared" si="134"/>
        <v>40</v>
      </c>
      <c r="S655" s="38"/>
      <c r="T655" s="40">
        <v>4836</v>
      </c>
    </row>
    <row r="656" spans="2:20" ht="15.6" x14ac:dyDescent="0.3">
      <c r="B656" s="59">
        <f t="shared" si="135"/>
        <v>9</v>
      </c>
      <c r="C656" s="59" t="s">
        <v>939</v>
      </c>
      <c r="D656" s="33" t="s">
        <v>940</v>
      </c>
      <c r="E656" s="34">
        <v>45107</v>
      </c>
      <c r="F656" s="35">
        <f>18.8724*5</f>
        <v>94.361999999999995</v>
      </c>
      <c r="G656" s="36">
        <v>5</v>
      </c>
      <c r="H656" s="37">
        <f t="shared" si="132"/>
        <v>18.872399999999999</v>
      </c>
      <c r="I656" s="35">
        <v>3432.7237599999999</v>
      </c>
      <c r="J656" s="35">
        <v>4556.3210989999998</v>
      </c>
      <c r="K656" s="35">
        <v>11080.437875</v>
      </c>
      <c r="L656" s="35">
        <v>71.064130000000006</v>
      </c>
      <c r="M656" s="35">
        <v>1079.9609230000001</v>
      </c>
      <c r="N656" s="37">
        <f t="shared" si="133"/>
        <v>414.79673500000013</v>
      </c>
      <c r="O656" s="35">
        <v>665.16418799999997</v>
      </c>
      <c r="P656" s="38">
        <v>200</v>
      </c>
      <c r="Q656" s="38">
        <v>0</v>
      </c>
      <c r="R656" s="39">
        <f t="shared" si="134"/>
        <v>200</v>
      </c>
      <c r="S656" s="38"/>
      <c r="T656" s="40">
        <v>1430</v>
      </c>
    </row>
    <row r="657" spans="2:20" ht="15.6" x14ac:dyDescent="0.3">
      <c r="B657" s="59">
        <f t="shared" si="135"/>
        <v>10</v>
      </c>
      <c r="C657" s="59" t="s">
        <v>941</v>
      </c>
      <c r="D657" s="33" t="s">
        <v>942</v>
      </c>
      <c r="E657" s="34">
        <v>45291</v>
      </c>
      <c r="F657" s="35">
        <v>9089.2333299999991</v>
      </c>
      <c r="G657" s="36">
        <v>10</v>
      </c>
      <c r="H657" s="37">
        <f t="shared" si="132"/>
        <v>908.92333299999996</v>
      </c>
      <c r="I657" s="35">
        <v>28902.407999999999</v>
      </c>
      <c r="J657" s="35">
        <v>88123.027000000002</v>
      </c>
      <c r="K657" s="35">
        <v>81224.448000000004</v>
      </c>
      <c r="L657" s="35">
        <v>4197.2079999999996</v>
      </c>
      <c r="M657" s="35">
        <v>14097.374</v>
      </c>
      <c r="N657" s="37">
        <f t="shared" si="133"/>
        <v>4866.7139999999999</v>
      </c>
      <c r="O657" s="35">
        <v>9230.66</v>
      </c>
      <c r="P657" s="38">
        <f>10+15+25+10</f>
        <v>60</v>
      </c>
      <c r="Q657" s="38">
        <v>0</v>
      </c>
      <c r="R657" s="39">
        <f t="shared" si="134"/>
        <v>60</v>
      </c>
      <c r="S657" s="38"/>
      <c r="T657" s="40">
        <v>36550</v>
      </c>
    </row>
    <row r="658" spans="2:20" ht="15.6" x14ac:dyDescent="0.3">
      <c r="B658" s="59"/>
      <c r="C658" s="59" t="s">
        <v>943</v>
      </c>
      <c r="D658" s="33" t="s">
        <v>944</v>
      </c>
      <c r="E658" s="34">
        <v>45291</v>
      </c>
      <c r="F658" s="35"/>
      <c r="G658" s="36">
        <v>10</v>
      </c>
      <c r="H658" s="37">
        <f t="shared" si="132"/>
        <v>0</v>
      </c>
      <c r="I658" s="35"/>
      <c r="J658" s="35"/>
      <c r="K658" s="35"/>
      <c r="L658" s="35"/>
      <c r="M658" s="35"/>
      <c r="N658" s="37">
        <f t="shared" si="133"/>
        <v>0</v>
      </c>
      <c r="O658" s="35"/>
      <c r="P658" s="38">
        <f>5+5+6.5+6.7</f>
        <v>23.2</v>
      </c>
      <c r="Q658" s="38">
        <v>0</v>
      </c>
      <c r="R658" s="39">
        <f t="shared" ref="R658" si="136">SUM(P658:Q658)</f>
        <v>23.2</v>
      </c>
      <c r="S658" s="38"/>
      <c r="T658" s="40"/>
    </row>
    <row r="659" spans="2:20" ht="15.6" x14ac:dyDescent="0.3">
      <c r="B659" s="59">
        <f>+B657+1</f>
        <v>11</v>
      </c>
      <c r="C659" s="59" t="s">
        <v>945</v>
      </c>
      <c r="D659" s="33" t="s">
        <v>946</v>
      </c>
      <c r="E659" s="34">
        <v>45107</v>
      </c>
      <c r="F659" s="35">
        <v>5001.8789999999999</v>
      </c>
      <c r="G659" s="36">
        <v>10</v>
      </c>
      <c r="H659" s="37">
        <f t="shared" si="132"/>
        <v>500.18790000000001</v>
      </c>
      <c r="I659" s="35">
        <v>8829.9580000000005</v>
      </c>
      <c r="J659" s="35">
        <v>13127.623</v>
      </c>
      <c r="K659" s="35">
        <v>4332.1959999999999</v>
      </c>
      <c r="L659" s="35">
        <v>374.38200000000001</v>
      </c>
      <c r="M659" s="35">
        <v>931.64</v>
      </c>
      <c r="N659" s="37">
        <f t="shared" si="133"/>
        <v>423.74899999999997</v>
      </c>
      <c r="O659" s="35">
        <v>507.89100000000002</v>
      </c>
      <c r="P659" s="38">
        <v>0</v>
      </c>
      <c r="Q659" s="38">
        <f>10</f>
        <v>10</v>
      </c>
      <c r="R659" s="39">
        <f t="shared" ref="R659" si="137">SUM(P659:Q659)</f>
        <v>10</v>
      </c>
      <c r="S659" s="38"/>
      <c r="T659" s="40">
        <v>8008</v>
      </c>
    </row>
    <row r="660" spans="2:20" ht="15.6" x14ac:dyDescent="0.3">
      <c r="B660" s="59">
        <f>+B659+1</f>
        <v>12</v>
      </c>
      <c r="C660" s="59" t="s">
        <v>947</v>
      </c>
      <c r="D660" s="33" t="s">
        <v>948</v>
      </c>
      <c r="E660" s="34">
        <v>45107</v>
      </c>
      <c r="F660" s="35">
        <v>3541.1970000000001</v>
      </c>
      <c r="G660" s="36">
        <v>10</v>
      </c>
      <c r="H660" s="37">
        <f t="shared" si="132"/>
        <v>354.11970000000002</v>
      </c>
      <c r="I660" s="35">
        <v>3787.0239999999999</v>
      </c>
      <c r="J660" s="35">
        <v>3802.6849999999999</v>
      </c>
      <c r="K660" s="35">
        <v>140.26599999999999</v>
      </c>
      <c r="L660" s="35">
        <v>0</v>
      </c>
      <c r="M660" s="35">
        <v>22.085000000000001</v>
      </c>
      <c r="N660" s="37">
        <f t="shared" si="133"/>
        <v>5.7620000000000005</v>
      </c>
      <c r="O660" s="35">
        <v>16.323</v>
      </c>
      <c r="P660" s="38">
        <v>0</v>
      </c>
      <c r="Q660" s="38">
        <f>10</f>
        <v>10</v>
      </c>
      <c r="R660" s="39">
        <f t="shared" si="134"/>
        <v>10</v>
      </c>
      <c r="S660" s="38"/>
      <c r="T660" s="40">
        <v>10362</v>
      </c>
    </row>
    <row r="661" spans="2:20" ht="15.6" x14ac:dyDescent="0.3">
      <c r="B661" s="59">
        <f>+B660+1</f>
        <v>13</v>
      </c>
      <c r="C661" s="59" t="s">
        <v>949</v>
      </c>
      <c r="D661" s="33" t="s">
        <v>950</v>
      </c>
      <c r="E661" s="34">
        <v>45107</v>
      </c>
      <c r="F661" s="35">
        <v>923.59050000000002</v>
      </c>
      <c r="G661" s="36">
        <v>10</v>
      </c>
      <c r="H661" s="37">
        <f t="shared" si="132"/>
        <v>92.359049999999996</v>
      </c>
      <c r="I661" s="35">
        <v>37830.644</v>
      </c>
      <c r="J661" s="35">
        <v>81009.813999999998</v>
      </c>
      <c r="K661" s="35">
        <v>109486.109</v>
      </c>
      <c r="L661" s="35">
        <v>2880.1320000000001</v>
      </c>
      <c r="M661" s="35">
        <v>21910.804</v>
      </c>
      <c r="N661" s="37">
        <f t="shared" si="133"/>
        <v>8138.3950000000004</v>
      </c>
      <c r="O661" s="35">
        <v>13772.409</v>
      </c>
      <c r="P661" s="38">
        <f>100+330</f>
        <v>430</v>
      </c>
      <c r="Q661" s="38">
        <v>0</v>
      </c>
      <c r="R661" s="39">
        <f t="shared" si="134"/>
        <v>430</v>
      </c>
      <c r="S661" s="38"/>
      <c r="T661" s="40">
        <v>9437</v>
      </c>
    </row>
    <row r="662" spans="2:20" ht="15.6" x14ac:dyDescent="0.3">
      <c r="B662" s="59">
        <f t="shared" ref="B662:B670" si="138">+B661+1</f>
        <v>14</v>
      </c>
      <c r="C662" s="59" t="s">
        <v>951</v>
      </c>
      <c r="D662" s="33" t="s">
        <v>952</v>
      </c>
      <c r="E662" s="34">
        <v>45107</v>
      </c>
      <c r="F662" s="35">
        <v>1000</v>
      </c>
      <c r="G662" s="36">
        <v>10</v>
      </c>
      <c r="H662" s="37">
        <f t="shared" si="132"/>
        <v>100</v>
      </c>
      <c r="I662" s="35">
        <v>6703.7669999999998</v>
      </c>
      <c r="J662" s="35">
        <v>14690.99</v>
      </c>
      <c r="K662" s="35">
        <v>24268.282999999999</v>
      </c>
      <c r="L662" s="35">
        <v>562.20699999999999</v>
      </c>
      <c r="M662" s="35">
        <v>2680.1909999999998</v>
      </c>
      <c r="N662" s="37">
        <f t="shared" si="133"/>
        <v>853.99499999999989</v>
      </c>
      <c r="O662" s="35">
        <v>1826.1959999999999</v>
      </c>
      <c r="P662" s="38">
        <f>10+10+10+12.5</f>
        <v>42.5</v>
      </c>
      <c r="Q662" s="38">
        <v>0</v>
      </c>
      <c r="R662" s="39">
        <f t="shared" si="134"/>
        <v>42.5</v>
      </c>
      <c r="S662" s="38"/>
      <c r="T662" s="40">
        <v>1189</v>
      </c>
    </row>
    <row r="663" spans="2:20" ht="15.6" x14ac:dyDescent="0.3">
      <c r="B663" s="59">
        <f t="shared" si="138"/>
        <v>15</v>
      </c>
      <c r="C663" s="59" t="s">
        <v>953</v>
      </c>
      <c r="D663" s="33" t="s">
        <v>954</v>
      </c>
      <c r="E663" s="34">
        <v>45291</v>
      </c>
      <c r="F663" s="35">
        <v>15142.072</v>
      </c>
      <c r="G663" s="36">
        <v>10</v>
      </c>
      <c r="H663" s="37">
        <f t="shared" si="132"/>
        <v>1514.2072000000001</v>
      </c>
      <c r="I663" s="35">
        <v>22011.958999999999</v>
      </c>
      <c r="J663" s="35">
        <v>43575.743000000002</v>
      </c>
      <c r="K663" s="35">
        <v>81619.404999999999</v>
      </c>
      <c r="L663" s="35">
        <v>1539.605</v>
      </c>
      <c r="M663" s="35">
        <v>9508.0669999999991</v>
      </c>
      <c r="N663" s="37">
        <f t="shared" si="133"/>
        <v>4430.4129999999986</v>
      </c>
      <c r="O663" s="35">
        <v>5077.6540000000005</v>
      </c>
      <c r="P663" s="38">
        <f>20+10</f>
        <v>30</v>
      </c>
      <c r="Q663" s="38">
        <v>0</v>
      </c>
      <c r="R663" s="39">
        <f t="shared" si="134"/>
        <v>30</v>
      </c>
      <c r="S663" s="38"/>
      <c r="T663" s="40">
        <v>14861</v>
      </c>
    </row>
    <row r="664" spans="2:20" ht="15.6" x14ac:dyDescent="0.3">
      <c r="B664" s="59">
        <f t="shared" si="138"/>
        <v>16</v>
      </c>
      <c r="C664" s="59" t="s">
        <v>955</v>
      </c>
      <c r="D664" s="33" t="s">
        <v>956</v>
      </c>
      <c r="E664" s="34">
        <v>45107</v>
      </c>
      <c r="F664" s="35">
        <f>7.5*G664</f>
        <v>75</v>
      </c>
      <c r="G664" s="36">
        <v>10</v>
      </c>
      <c r="H664" s="37">
        <f t="shared" si="132"/>
        <v>7.5</v>
      </c>
      <c r="I664" s="35">
        <v>799.83500000000004</v>
      </c>
      <c r="J664" s="35">
        <v>1839.35</v>
      </c>
      <c r="K664" s="35">
        <v>2335.0210000000002</v>
      </c>
      <c r="L664" s="35">
        <v>57.037999999999997</v>
      </c>
      <c r="M664" s="35">
        <v>102.443</v>
      </c>
      <c r="N664" s="37">
        <f t="shared" si="133"/>
        <v>35.769999999999996</v>
      </c>
      <c r="O664" s="35">
        <v>66.673000000000002</v>
      </c>
      <c r="P664" s="38">
        <v>0</v>
      </c>
      <c r="Q664" s="38">
        <v>0</v>
      </c>
      <c r="R664" s="39">
        <f t="shared" si="134"/>
        <v>0</v>
      </c>
      <c r="S664" s="38"/>
      <c r="T664" s="40">
        <v>590</v>
      </c>
    </row>
    <row r="665" spans="2:20" ht="15.6" x14ac:dyDescent="0.3">
      <c r="B665" s="59">
        <f t="shared" si="138"/>
        <v>17</v>
      </c>
      <c r="C665" s="59" t="s">
        <v>957</v>
      </c>
      <c r="D665" s="33" t="s">
        <v>958</v>
      </c>
      <c r="E665" s="34">
        <v>45107</v>
      </c>
      <c r="F665" s="35">
        <f>110.590546*G665</f>
        <v>1105.9054599999999</v>
      </c>
      <c r="G665" s="36">
        <v>10</v>
      </c>
      <c r="H665" s="37">
        <f t="shared" si="132"/>
        <v>110.59054599999999</v>
      </c>
      <c r="I665" s="35">
        <v>7848.3739839999998</v>
      </c>
      <c r="J665" s="35">
        <v>31421.656814000002</v>
      </c>
      <c r="K665" s="35">
        <v>43825.540792</v>
      </c>
      <c r="L665" s="35">
        <v>2699.3512620000001</v>
      </c>
      <c r="M665" s="35">
        <v>2789.984903</v>
      </c>
      <c r="N665" s="37">
        <f t="shared" si="133"/>
        <v>952.33458399999995</v>
      </c>
      <c r="O665" s="35">
        <v>1837.6503190000001</v>
      </c>
      <c r="P665" s="38">
        <v>20</v>
      </c>
      <c r="Q665" s="38">
        <v>0</v>
      </c>
      <c r="R665" s="39">
        <f t="shared" si="134"/>
        <v>20</v>
      </c>
      <c r="S665" s="38"/>
      <c r="T665" s="40">
        <v>1867</v>
      </c>
    </row>
    <row r="666" spans="2:20" ht="15.6" x14ac:dyDescent="0.3">
      <c r="B666" s="59">
        <f t="shared" si="138"/>
        <v>18</v>
      </c>
      <c r="C666" s="59" t="s">
        <v>959</v>
      </c>
      <c r="D666" s="33" t="s">
        <v>960</v>
      </c>
      <c r="E666" s="34">
        <v>45107</v>
      </c>
      <c r="F666" s="35">
        <v>1413.21064</v>
      </c>
      <c r="G666" s="36">
        <v>10</v>
      </c>
      <c r="H666" s="37">
        <f t="shared" si="132"/>
        <v>141.32106400000001</v>
      </c>
      <c r="I666" s="35">
        <v>3135.5272049999999</v>
      </c>
      <c r="J666" s="35">
        <v>5725.0202829999998</v>
      </c>
      <c r="K666" s="35">
        <v>9370.9076420000001</v>
      </c>
      <c r="L666" s="35">
        <v>376.23658899999998</v>
      </c>
      <c r="M666" s="35">
        <v>575.90786800000001</v>
      </c>
      <c r="N666" s="37">
        <f t="shared" si="133"/>
        <v>190.03301199999999</v>
      </c>
      <c r="O666" s="35">
        <v>385.87485600000002</v>
      </c>
      <c r="P666" s="38">
        <v>0</v>
      </c>
      <c r="Q666" s="38">
        <v>0</v>
      </c>
      <c r="R666" s="39">
        <f t="shared" si="134"/>
        <v>0</v>
      </c>
      <c r="S666" s="38"/>
      <c r="T666" s="40">
        <v>4327</v>
      </c>
    </row>
    <row r="667" spans="2:20" ht="15.6" x14ac:dyDescent="0.3">
      <c r="B667" s="59">
        <f t="shared" si="138"/>
        <v>19</v>
      </c>
      <c r="C667" s="59" t="s">
        <v>961</v>
      </c>
      <c r="D667" s="33" t="s">
        <v>962</v>
      </c>
      <c r="E667" s="34">
        <v>45291</v>
      </c>
      <c r="F667" s="35">
        <v>871.24300000000005</v>
      </c>
      <c r="G667" s="36">
        <v>10</v>
      </c>
      <c r="H667" s="37">
        <f t="shared" si="132"/>
        <v>87.124300000000005</v>
      </c>
      <c r="I667" s="35">
        <v>8638.6489999999994</v>
      </c>
      <c r="J667" s="35">
        <v>18651.581999999999</v>
      </c>
      <c r="K667" s="35">
        <v>8589</v>
      </c>
      <c r="L667" s="35">
        <v>686.64800000000002</v>
      </c>
      <c r="M667" s="35">
        <v>205.50700000000001</v>
      </c>
      <c r="N667" s="37">
        <f t="shared" si="133"/>
        <v>60.769000000000005</v>
      </c>
      <c r="O667" s="35">
        <v>144.738</v>
      </c>
      <c r="P667" s="38">
        <v>0</v>
      </c>
      <c r="Q667" s="38">
        <v>0</v>
      </c>
      <c r="R667" s="39">
        <f t="shared" si="134"/>
        <v>0</v>
      </c>
      <c r="S667" s="38">
        <v>18.96</v>
      </c>
      <c r="T667" s="40">
        <v>2082</v>
      </c>
    </row>
    <row r="668" spans="2:20" ht="15.6" x14ac:dyDescent="0.3">
      <c r="B668" s="59">
        <f t="shared" si="138"/>
        <v>20</v>
      </c>
      <c r="C668" s="59" t="s">
        <v>963</v>
      </c>
      <c r="D668" s="33" t="s">
        <v>964</v>
      </c>
      <c r="E668" s="34">
        <v>45107</v>
      </c>
      <c r="F668" s="35">
        <f>6*G668</f>
        <v>60</v>
      </c>
      <c r="G668" s="36">
        <v>10</v>
      </c>
      <c r="H668" s="37">
        <f t="shared" si="132"/>
        <v>6</v>
      </c>
      <c r="I668" s="35">
        <v>251.83273700000001</v>
      </c>
      <c r="J668" s="35">
        <v>330.47467599999999</v>
      </c>
      <c r="K668" s="35">
        <v>366.29079899999999</v>
      </c>
      <c r="L668" s="35">
        <v>10.705702</v>
      </c>
      <c r="M668" s="35">
        <v>30.876753999999998</v>
      </c>
      <c r="N668" s="37">
        <f t="shared" si="133"/>
        <v>6.547901999999997</v>
      </c>
      <c r="O668" s="35">
        <v>24.328852000000001</v>
      </c>
      <c r="P668" s="38">
        <v>0</v>
      </c>
      <c r="Q668" s="38">
        <v>0</v>
      </c>
      <c r="R668" s="39">
        <f t="shared" si="134"/>
        <v>0</v>
      </c>
      <c r="S668" s="38"/>
      <c r="T668" s="40">
        <v>1705</v>
      </c>
    </row>
    <row r="669" spans="2:20" ht="15.6" x14ac:dyDescent="0.3">
      <c r="B669" s="59">
        <f t="shared" si="138"/>
        <v>21</v>
      </c>
      <c r="C669" s="59" t="s">
        <v>965</v>
      </c>
      <c r="D669" s="33" t="s">
        <v>966</v>
      </c>
      <c r="E669" s="34">
        <v>45107</v>
      </c>
      <c r="F669" s="35">
        <v>214.29407</v>
      </c>
      <c r="G669" s="36">
        <v>10</v>
      </c>
      <c r="H669" s="37">
        <f t="shared" si="132"/>
        <v>21.429407000000001</v>
      </c>
      <c r="I669" s="35">
        <v>16604.238122999999</v>
      </c>
      <c r="J669" s="35">
        <v>34939.772728000004</v>
      </c>
      <c r="K669" s="35">
        <v>27492.638537999999</v>
      </c>
      <c r="L669" s="35">
        <v>1611.6794649999999</v>
      </c>
      <c r="M669" s="35">
        <v>1475.922566</v>
      </c>
      <c r="N669" s="37">
        <f t="shared" si="133"/>
        <v>482.57111499999996</v>
      </c>
      <c r="O669" s="35">
        <v>993.351451</v>
      </c>
      <c r="P669" s="38">
        <v>100</v>
      </c>
      <c r="Q669" s="38">
        <v>0</v>
      </c>
      <c r="R669" s="39">
        <f t="shared" si="134"/>
        <v>100</v>
      </c>
      <c r="S669" s="38"/>
      <c r="T669" s="40">
        <v>1753</v>
      </c>
    </row>
    <row r="670" spans="2:20" ht="15.6" x14ac:dyDescent="0.3">
      <c r="B670" s="59">
        <f t="shared" si="138"/>
        <v>22</v>
      </c>
      <c r="C670" s="59" t="s">
        <v>967</v>
      </c>
      <c r="D670" s="33" t="s">
        <v>968</v>
      </c>
      <c r="E670" s="34">
        <v>45107</v>
      </c>
      <c r="F670" s="35">
        <v>90</v>
      </c>
      <c r="G670" s="36">
        <v>10</v>
      </c>
      <c r="H670" s="37">
        <f t="shared" si="132"/>
        <v>9</v>
      </c>
      <c r="I670" s="35">
        <v>1805.120496</v>
      </c>
      <c r="J670" s="35">
        <v>2580.009427</v>
      </c>
      <c r="K670" s="35">
        <v>4383.4363970000004</v>
      </c>
      <c r="L670" s="35">
        <v>92.856705000000005</v>
      </c>
      <c r="M670" s="35">
        <v>668.75635999999997</v>
      </c>
      <c r="N670" s="37">
        <f t="shared" si="133"/>
        <v>219.52589799999998</v>
      </c>
      <c r="O670" s="35">
        <v>449.23046199999999</v>
      </c>
      <c r="P670" s="38">
        <v>100</v>
      </c>
      <c r="Q670" s="38">
        <v>0</v>
      </c>
      <c r="R670" s="39">
        <f t="shared" si="134"/>
        <v>100</v>
      </c>
      <c r="S670" s="38"/>
      <c r="T670" s="40">
        <v>804</v>
      </c>
    </row>
    <row r="671" spans="2:20" ht="15.6" x14ac:dyDescent="0.3">
      <c r="B671" s="61"/>
      <c r="C671" s="61"/>
      <c r="D671" s="63"/>
      <c r="E671" s="64"/>
      <c r="F671" s="65"/>
      <c r="G671" s="42"/>
      <c r="H671" s="66"/>
      <c r="I671" s="65"/>
      <c r="J671" s="65"/>
      <c r="K671" s="65"/>
      <c r="L671" s="65"/>
      <c r="M671" s="65"/>
      <c r="N671" s="66"/>
      <c r="O671" s="65"/>
      <c r="P671" s="67"/>
      <c r="Q671" s="67"/>
      <c r="R671" s="68"/>
      <c r="S671" s="67"/>
      <c r="T671" s="69"/>
    </row>
    <row r="672" spans="2:20" ht="18" x14ac:dyDescent="0.35">
      <c r="B672" s="27"/>
      <c r="C672" s="27"/>
      <c r="D672" s="55" t="s">
        <v>43</v>
      </c>
      <c r="E672" s="27"/>
      <c r="F672" s="27"/>
      <c r="G672" s="42"/>
      <c r="H672" s="43"/>
      <c r="I672" s="29"/>
      <c r="J672" s="29"/>
      <c r="K672" s="29"/>
      <c r="L672" s="29"/>
      <c r="M672" s="29"/>
      <c r="N672" s="44"/>
      <c r="O672" s="29"/>
      <c r="P672" s="29"/>
      <c r="Q672" s="29"/>
      <c r="R672" s="44"/>
      <c r="S672" s="29"/>
      <c r="T672" s="29"/>
    </row>
    <row r="673" spans="2:20" ht="15.6" x14ac:dyDescent="0.3">
      <c r="B673" s="59">
        <v>1</v>
      </c>
      <c r="C673" s="59" t="s">
        <v>969</v>
      </c>
      <c r="D673" s="33" t="s">
        <v>970</v>
      </c>
      <c r="E673" s="34">
        <v>45107</v>
      </c>
      <c r="F673" s="35">
        <f>7.50251*G673</f>
        <v>75.025099999999995</v>
      </c>
      <c r="G673" s="36">
        <v>10</v>
      </c>
      <c r="H673" s="37">
        <f>+F673/G673</f>
        <v>7.5025099999999991</v>
      </c>
      <c r="I673" s="35">
        <v>47.417768000000002</v>
      </c>
      <c r="J673" s="35">
        <v>94.080813000000006</v>
      </c>
      <c r="K673" s="35">
        <v>0</v>
      </c>
      <c r="L673" s="35">
        <v>1.0988E-2</v>
      </c>
      <c r="M673" s="35">
        <v>59.388342000000002</v>
      </c>
      <c r="N673" s="37">
        <f>+M673-O673</f>
        <v>2.8100000000108594E-4</v>
      </c>
      <c r="O673" s="35">
        <v>59.388061</v>
      </c>
      <c r="P673" s="38">
        <v>0</v>
      </c>
      <c r="Q673" s="38">
        <v>0</v>
      </c>
      <c r="R673" s="39">
        <f>SUM(P673:Q673)</f>
        <v>0</v>
      </c>
      <c r="S673" s="38"/>
      <c r="T673" s="40">
        <v>766</v>
      </c>
    </row>
    <row r="674" spans="2:20" ht="15.6" x14ac:dyDescent="0.3">
      <c r="B674" s="59">
        <f>+B673+1</f>
        <v>2</v>
      </c>
      <c r="C674" s="59" t="s">
        <v>971</v>
      </c>
      <c r="D674" s="33" t="s">
        <v>972</v>
      </c>
      <c r="E674" s="34">
        <v>45107</v>
      </c>
      <c r="F674" s="35">
        <f>14.958*G674</f>
        <v>149.58000000000001</v>
      </c>
      <c r="G674" s="36">
        <v>10</v>
      </c>
      <c r="H674" s="37">
        <f>+F674/G674</f>
        <v>14.958000000000002</v>
      </c>
      <c r="I674" s="35">
        <v>-20.556201000000001</v>
      </c>
      <c r="J674" s="35">
        <v>274.55176</v>
      </c>
      <c r="K674" s="35">
        <v>11.251064</v>
      </c>
      <c r="L674" s="35">
        <v>3.639561</v>
      </c>
      <c r="M674" s="35">
        <v>100.58246200000001</v>
      </c>
      <c r="N674" s="37">
        <f>+M674-O674</f>
        <v>11.868243000000007</v>
      </c>
      <c r="O674" s="35">
        <v>88.714219</v>
      </c>
      <c r="P674" s="38">
        <v>0</v>
      </c>
      <c r="Q674" s="38">
        <v>0</v>
      </c>
      <c r="R674" s="39">
        <f>SUM(P674:Q674)</f>
        <v>0</v>
      </c>
      <c r="S674" s="38"/>
      <c r="T674" s="40">
        <v>603</v>
      </c>
    </row>
    <row r="675" spans="2:20" ht="15.6" x14ac:dyDescent="0.3">
      <c r="B675" s="59">
        <f>+B674+1</f>
        <v>3</v>
      </c>
      <c r="C675" s="59" t="s">
        <v>973</v>
      </c>
      <c r="D675" s="33" t="s">
        <v>974</v>
      </c>
      <c r="E675" s="34">
        <v>45107</v>
      </c>
      <c r="F675" s="35">
        <f>12*G675</f>
        <v>120</v>
      </c>
      <c r="G675" s="36">
        <v>10</v>
      </c>
      <c r="H675" s="37">
        <f>+F675/G675</f>
        <v>12</v>
      </c>
      <c r="I675" s="35">
        <v>-56.002786999999998</v>
      </c>
      <c r="J675" s="35">
        <v>57.811585999999998</v>
      </c>
      <c r="K675" s="35">
        <v>18.816980999999998</v>
      </c>
      <c r="L675" s="35">
        <v>9.2506819999999994</v>
      </c>
      <c r="M675" s="35">
        <v>6.9393279999999997</v>
      </c>
      <c r="N675" s="37">
        <f>+M675-O675</f>
        <v>3.8094169999999998</v>
      </c>
      <c r="O675" s="35">
        <v>3.1299109999999999</v>
      </c>
      <c r="P675" s="38">
        <v>0</v>
      </c>
      <c r="Q675" s="38">
        <v>0</v>
      </c>
      <c r="R675" s="39">
        <f>SUM(P675:Q675)</f>
        <v>0</v>
      </c>
      <c r="S675" s="38"/>
      <c r="T675" s="40">
        <v>1030</v>
      </c>
    </row>
    <row r="676" spans="2:20" ht="15.6" x14ac:dyDescent="0.3">
      <c r="B676" s="59">
        <f>+B675+1</f>
        <v>4</v>
      </c>
      <c r="C676" s="59" t="s">
        <v>975</v>
      </c>
      <c r="D676" s="33" t="s">
        <v>976</v>
      </c>
      <c r="E676" s="34">
        <v>45107</v>
      </c>
      <c r="F676" s="35">
        <f>55.1*G676</f>
        <v>551</v>
      </c>
      <c r="G676" s="36">
        <v>10</v>
      </c>
      <c r="H676" s="37">
        <f>+F676/G676</f>
        <v>55.1</v>
      </c>
      <c r="I676" s="35"/>
      <c r="J676" s="35"/>
      <c r="K676" s="35"/>
      <c r="L676" s="35"/>
      <c r="M676" s="35">
        <v>-753.26199999999994</v>
      </c>
      <c r="N676" s="37">
        <f>+M676-O676</f>
        <v>39.516000000000076</v>
      </c>
      <c r="O676" s="35">
        <v>-792.77800000000002</v>
      </c>
      <c r="P676" s="38">
        <v>0</v>
      </c>
      <c r="Q676" s="38">
        <v>0</v>
      </c>
      <c r="R676" s="39">
        <f>SUM(P676:Q676)</f>
        <v>0</v>
      </c>
      <c r="S676" s="38"/>
      <c r="T676" s="40"/>
    </row>
    <row r="677" spans="2:20" ht="15.6" x14ac:dyDescent="0.3">
      <c r="B677" s="27"/>
      <c r="C677" s="27"/>
      <c r="D677" s="27"/>
      <c r="E677" s="27"/>
      <c r="F677" s="27"/>
      <c r="G677" s="42"/>
      <c r="H677" s="43"/>
      <c r="I677" s="29"/>
      <c r="J677" s="29"/>
      <c r="K677" s="29"/>
      <c r="L677" s="29"/>
      <c r="M677" s="29"/>
      <c r="N677" s="44"/>
      <c r="O677" s="29"/>
      <c r="P677" s="29"/>
      <c r="Q677" s="29"/>
      <c r="R677" s="44"/>
      <c r="S677" s="29"/>
      <c r="T677" s="29"/>
    </row>
    <row r="678" spans="2:20" ht="15.6" x14ac:dyDescent="0.3">
      <c r="B678" s="46">
        <f>COUNT(B648:B677)</f>
        <v>26</v>
      </c>
      <c r="C678" s="46"/>
      <c r="D678" s="47"/>
      <c r="E678" s="47"/>
      <c r="F678" s="47">
        <f>SUM(F648:F677)</f>
        <v>48724.8577</v>
      </c>
      <c r="G678" s="48"/>
      <c r="H678" s="49">
        <f>SUM(H648:H677)</f>
        <v>4881.9219700000003</v>
      </c>
      <c r="I678" s="47">
        <f>SUM(I648:I677)</f>
        <v>201856.87772899997</v>
      </c>
      <c r="J678" s="47">
        <f>SUM(J648:J677)</f>
        <v>514041.64167500002</v>
      </c>
      <c r="K678" s="47">
        <f>SUM(K648:K677)</f>
        <v>569755.70558499976</v>
      </c>
      <c r="L678" s="47">
        <f>SUM(L648:L677)</f>
        <v>23084.593697000004</v>
      </c>
      <c r="M678" s="47">
        <f>SUM(M648:M677)</f>
        <v>78536.655912999995</v>
      </c>
      <c r="N678" s="50">
        <f>SUM(N648:N677)</f>
        <v>29171.978475</v>
      </c>
      <c r="O678" s="47">
        <f>SUM(O648:O677)</f>
        <v>49364.677438000013</v>
      </c>
      <c r="P678" s="51"/>
      <c r="Q678" s="51"/>
      <c r="R678" s="52"/>
      <c r="S678" s="51"/>
      <c r="T678" s="53">
        <f>SUM(T648:T677)</f>
        <v>115048</v>
      </c>
    </row>
    <row r="679" spans="2:20" ht="15.6" x14ac:dyDescent="0.3">
      <c r="B679" s="27"/>
      <c r="C679" s="27"/>
      <c r="D679" s="27"/>
      <c r="E679" s="27"/>
      <c r="F679" s="27"/>
      <c r="G679" s="42"/>
      <c r="H679" s="43"/>
      <c r="I679" s="29"/>
      <c r="J679" s="29"/>
      <c r="K679" s="29"/>
      <c r="L679" s="29"/>
      <c r="M679" s="29"/>
      <c r="N679" s="44"/>
      <c r="O679" s="29"/>
      <c r="P679" s="29"/>
      <c r="Q679" s="29"/>
      <c r="R679" s="44"/>
      <c r="S679" s="29"/>
      <c r="T679" s="29"/>
    </row>
    <row r="680" spans="2:20" ht="15.6" x14ac:dyDescent="0.3">
      <c r="B680" s="27"/>
      <c r="C680" s="27"/>
      <c r="D680" s="27"/>
      <c r="E680" s="27"/>
      <c r="F680" s="27"/>
      <c r="G680" s="42"/>
      <c r="H680" s="43"/>
      <c r="I680" s="29"/>
      <c r="J680" s="29"/>
      <c r="K680" s="29"/>
      <c r="L680" s="29"/>
      <c r="M680" s="29"/>
      <c r="N680" s="44"/>
      <c r="O680" s="29"/>
      <c r="P680" s="29"/>
      <c r="Q680" s="29"/>
      <c r="R680" s="44"/>
      <c r="S680" s="29"/>
      <c r="T680" s="29"/>
    </row>
    <row r="681" spans="2:20" ht="18" x14ac:dyDescent="0.35">
      <c r="B681" s="27"/>
      <c r="C681" s="31">
        <v>31</v>
      </c>
      <c r="D681" s="31" t="s">
        <v>977</v>
      </c>
      <c r="E681" s="60"/>
      <c r="F681" s="60"/>
      <c r="G681" s="42"/>
      <c r="H681" s="43"/>
      <c r="I681" s="29"/>
      <c r="J681" s="29"/>
      <c r="K681" s="29"/>
      <c r="L681" s="29"/>
      <c r="M681" s="29"/>
      <c r="N681" s="44"/>
      <c r="O681" s="29"/>
      <c r="P681" s="29"/>
      <c r="Q681" s="29"/>
      <c r="R681" s="44"/>
      <c r="S681" s="29"/>
      <c r="T681" s="29"/>
    </row>
    <row r="682" spans="2:20" ht="15.6" x14ac:dyDescent="0.3">
      <c r="B682" s="27"/>
      <c r="C682" s="27"/>
      <c r="D682" s="27"/>
      <c r="E682" s="27"/>
      <c r="F682" s="27"/>
      <c r="G682" s="42"/>
      <c r="H682" s="43"/>
      <c r="I682" s="29"/>
      <c r="J682" s="29"/>
      <c r="K682" s="29"/>
      <c r="L682" s="29"/>
      <c r="M682" s="29"/>
      <c r="N682" s="44"/>
      <c r="O682" s="29"/>
      <c r="P682" s="29"/>
      <c r="Q682" s="29"/>
      <c r="R682" s="44"/>
      <c r="S682" s="29"/>
      <c r="T682" s="29"/>
    </row>
    <row r="683" spans="2:20" ht="15.6" x14ac:dyDescent="0.3">
      <c r="B683" s="32">
        <v>1</v>
      </c>
      <c r="C683" s="59" t="s">
        <v>978</v>
      </c>
      <c r="D683" s="33" t="s">
        <v>979</v>
      </c>
      <c r="E683" s="34">
        <v>45107</v>
      </c>
      <c r="F683" s="35">
        <v>4017.1292600000002</v>
      </c>
      <c r="G683" s="36">
        <v>10</v>
      </c>
      <c r="H683" s="37">
        <f t="shared" ref="H683:H689" si="139">+F683/G683</f>
        <v>401.71292600000004</v>
      </c>
      <c r="I683" s="35">
        <v>13111.967000000001</v>
      </c>
      <c r="J683" s="35">
        <v>29896.203000000001</v>
      </c>
      <c r="K683" s="35">
        <v>47661.248</v>
      </c>
      <c r="L683" s="35">
        <v>2015.6210000000001</v>
      </c>
      <c r="M683" s="35">
        <v>1421.5830000000001</v>
      </c>
      <c r="N683" s="37">
        <f t="shared" ref="N683:N689" si="140">+M683-O683</f>
        <v>516.59400000000005</v>
      </c>
      <c r="O683" s="35">
        <v>904.98900000000003</v>
      </c>
      <c r="P683" s="38">
        <v>0</v>
      </c>
      <c r="Q683" s="38">
        <f>80</f>
        <v>80</v>
      </c>
      <c r="R683" s="39">
        <f t="shared" ref="R683:R689" si="141">SUM(P683:Q683)</f>
        <v>80</v>
      </c>
      <c r="S683" s="38"/>
      <c r="T683" s="40">
        <v>3537</v>
      </c>
    </row>
    <row r="684" spans="2:20" ht="15.6" x14ac:dyDescent="0.3">
      <c r="B684" s="32">
        <f t="shared" ref="B684:B689" si="142">+B683+1</f>
        <v>2</v>
      </c>
      <c r="C684" s="32" t="s">
        <v>980</v>
      </c>
      <c r="D684" s="33" t="s">
        <v>981</v>
      </c>
      <c r="E684" s="34">
        <v>45107</v>
      </c>
      <c r="F684" s="35">
        <v>490.95396</v>
      </c>
      <c r="G684" s="36">
        <v>10</v>
      </c>
      <c r="H684" s="37">
        <f t="shared" si="139"/>
        <v>49.095396000000001</v>
      </c>
      <c r="I684" s="35">
        <v>7200.5259999999998</v>
      </c>
      <c r="J684" s="35">
        <v>16433.794999999998</v>
      </c>
      <c r="K684" s="35">
        <v>16554.261999999999</v>
      </c>
      <c r="L684" s="35">
        <v>1201.904</v>
      </c>
      <c r="M684" s="35">
        <v>1668.338</v>
      </c>
      <c r="N684" s="37">
        <f t="shared" si="140"/>
        <v>760.08799999999997</v>
      </c>
      <c r="O684" s="35">
        <v>908.25</v>
      </c>
      <c r="P684" s="38">
        <f>10+20</f>
        <v>30</v>
      </c>
      <c r="Q684" s="38">
        <f>5</f>
        <v>5</v>
      </c>
      <c r="R684" s="39">
        <f t="shared" si="141"/>
        <v>35</v>
      </c>
      <c r="S684" s="38"/>
      <c r="T684" s="40">
        <v>1693</v>
      </c>
    </row>
    <row r="685" spans="2:20" ht="15.6" x14ac:dyDescent="0.3">
      <c r="B685" s="32">
        <f t="shared" si="142"/>
        <v>3</v>
      </c>
      <c r="C685" s="32" t="s">
        <v>982</v>
      </c>
      <c r="D685" s="33" t="s">
        <v>983</v>
      </c>
      <c r="E685" s="34">
        <v>45107</v>
      </c>
      <c r="F685" s="35">
        <v>1999.5842700000001</v>
      </c>
      <c r="G685" s="36">
        <v>10</v>
      </c>
      <c r="H685" s="37">
        <f t="shared" si="139"/>
        <v>199.958427</v>
      </c>
      <c r="I685" s="35">
        <v>2922.2278580000002</v>
      </c>
      <c r="J685" s="35">
        <v>7122.7030050000003</v>
      </c>
      <c r="K685" s="35">
        <v>6340.6235740000002</v>
      </c>
      <c r="L685" s="35">
        <v>344.28471100000002</v>
      </c>
      <c r="M685" s="35">
        <v>-65.535679000000002</v>
      </c>
      <c r="N685" s="37">
        <f t="shared" si="140"/>
        <v>71.066264000000004</v>
      </c>
      <c r="O685" s="35">
        <v>-136.60194300000001</v>
      </c>
      <c r="P685" s="38">
        <v>0</v>
      </c>
      <c r="Q685" s="38">
        <v>0</v>
      </c>
      <c r="R685" s="39">
        <f t="shared" si="141"/>
        <v>0</v>
      </c>
      <c r="S685" s="38"/>
      <c r="T685" s="40">
        <v>1660</v>
      </c>
    </row>
    <row r="686" spans="2:20" ht="15.6" x14ac:dyDescent="0.3">
      <c r="B686" s="32">
        <f t="shared" si="142"/>
        <v>4</v>
      </c>
      <c r="C686" s="32" t="s">
        <v>984</v>
      </c>
      <c r="D686" s="33" t="s">
        <v>985</v>
      </c>
      <c r="E686" s="34">
        <v>45291</v>
      </c>
      <c r="F686" s="35">
        <v>893.79503999999997</v>
      </c>
      <c r="G686" s="36">
        <v>10</v>
      </c>
      <c r="H686" s="37">
        <f t="shared" si="139"/>
        <v>89.379503999999997</v>
      </c>
      <c r="I686" s="35">
        <v>58653.535000000003</v>
      </c>
      <c r="J686" s="35">
        <v>68378.588000000003</v>
      </c>
      <c r="K686" s="35">
        <v>6393.3050000000003</v>
      </c>
      <c r="L686" s="35">
        <v>1438.441</v>
      </c>
      <c r="M686" s="35">
        <v>3087.5880000000002</v>
      </c>
      <c r="N686" s="37">
        <f t="shared" si="140"/>
        <v>309.55700000000024</v>
      </c>
      <c r="O686" s="35">
        <v>2778.0309999999999</v>
      </c>
      <c r="P686" s="38">
        <v>275</v>
      </c>
      <c r="Q686" s="38">
        <v>0</v>
      </c>
      <c r="R686" s="39">
        <f t="shared" si="141"/>
        <v>275</v>
      </c>
      <c r="S686" s="38"/>
      <c r="T686" s="40">
        <v>3976</v>
      </c>
    </row>
    <row r="687" spans="2:20" ht="15.6" x14ac:dyDescent="0.3">
      <c r="B687" s="32">
        <f t="shared" si="142"/>
        <v>5</v>
      </c>
      <c r="C687" s="59" t="s">
        <v>986</v>
      </c>
      <c r="D687" s="33" t="s">
        <v>987</v>
      </c>
      <c r="E687" s="34">
        <v>45107</v>
      </c>
      <c r="F687" s="35">
        <f>8*G687</f>
        <v>80</v>
      </c>
      <c r="G687" s="36">
        <v>10</v>
      </c>
      <c r="H687" s="37">
        <f t="shared" si="139"/>
        <v>8</v>
      </c>
      <c r="I687" s="35">
        <v>1107.4742799999999</v>
      </c>
      <c r="J687" s="35">
        <v>1757.357215</v>
      </c>
      <c r="K687" s="35">
        <v>1745.9008100000001</v>
      </c>
      <c r="L687" s="35">
        <v>83.943929999999995</v>
      </c>
      <c r="M687" s="35">
        <v>132.61724599999999</v>
      </c>
      <c r="N687" s="37">
        <f t="shared" si="140"/>
        <v>43.584806</v>
      </c>
      <c r="O687" s="35">
        <v>89.032439999999994</v>
      </c>
      <c r="P687" s="38">
        <v>40</v>
      </c>
      <c r="Q687" s="38">
        <v>0</v>
      </c>
      <c r="R687" s="39">
        <f t="shared" si="141"/>
        <v>40</v>
      </c>
      <c r="S687" s="38"/>
      <c r="T687" s="40">
        <v>819</v>
      </c>
    </row>
    <row r="688" spans="2:20" ht="15.6" x14ac:dyDescent="0.3">
      <c r="B688" s="32">
        <f t="shared" si="142"/>
        <v>6</v>
      </c>
      <c r="C688" s="59" t="s">
        <v>988</v>
      </c>
      <c r="D688" s="33" t="s">
        <v>989</v>
      </c>
      <c r="E688" s="34">
        <v>45107</v>
      </c>
      <c r="F688" s="35">
        <f>141.9*G688</f>
        <v>1419</v>
      </c>
      <c r="G688" s="36">
        <v>10</v>
      </c>
      <c r="H688" s="37">
        <f t="shared" si="139"/>
        <v>141.9</v>
      </c>
      <c r="I688" s="35">
        <v>7315.0391339999996</v>
      </c>
      <c r="J688" s="35">
        <v>11666.349254999999</v>
      </c>
      <c r="K688" s="35">
        <v>10246.69384</v>
      </c>
      <c r="L688" s="35">
        <v>318.51233500000001</v>
      </c>
      <c r="M688" s="35">
        <v>338.11889100000002</v>
      </c>
      <c r="N688" s="37">
        <f t="shared" si="140"/>
        <v>187.78050400000001</v>
      </c>
      <c r="O688" s="35">
        <v>150.33838700000001</v>
      </c>
      <c r="P688" s="38">
        <v>10</v>
      </c>
      <c r="Q688" s="38">
        <v>0</v>
      </c>
      <c r="R688" s="39">
        <f t="shared" ref="R688" si="143">SUM(P688:Q688)</f>
        <v>10</v>
      </c>
      <c r="S688" s="38"/>
      <c r="T688" s="40">
        <v>5230</v>
      </c>
    </row>
    <row r="689" spans="2:20" ht="15.6" x14ac:dyDescent="0.3">
      <c r="B689" s="32">
        <f t="shared" si="142"/>
        <v>7</v>
      </c>
      <c r="C689" s="59" t="s">
        <v>990</v>
      </c>
      <c r="D689" s="33" t="s">
        <v>991</v>
      </c>
      <c r="E689" s="34">
        <v>45107</v>
      </c>
      <c r="F689" s="35">
        <v>592.55899999999997</v>
      </c>
      <c r="G689" s="36">
        <v>10</v>
      </c>
      <c r="H689" s="37">
        <f t="shared" si="139"/>
        <v>59.255899999999997</v>
      </c>
      <c r="I689" s="35">
        <v>7492.0020000000004</v>
      </c>
      <c r="J689" s="35">
        <v>9856.2860000000001</v>
      </c>
      <c r="K689" s="35">
        <v>5794.5929999999998</v>
      </c>
      <c r="L689" s="35">
        <v>6.9329999999999998</v>
      </c>
      <c r="M689" s="35">
        <v>1543.6859999999999</v>
      </c>
      <c r="N689" s="37">
        <f t="shared" si="140"/>
        <v>576.30599999999993</v>
      </c>
      <c r="O689" s="35">
        <v>967.38</v>
      </c>
      <c r="P689" s="38">
        <v>110</v>
      </c>
      <c r="Q689" s="38">
        <v>0</v>
      </c>
      <c r="R689" s="39">
        <f t="shared" si="141"/>
        <v>110</v>
      </c>
      <c r="S689" s="38"/>
      <c r="T689" s="40">
        <v>2177</v>
      </c>
    </row>
    <row r="690" spans="2:20" ht="15.6" x14ac:dyDescent="0.3">
      <c r="B690" s="27"/>
      <c r="C690" s="27"/>
      <c r="D690" s="27"/>
      <c r="E690" s="27"/>
      <c r="F690" s="27"/>
      <c r="G690" s="42"/>
      <c r="H690" s="43"/>
      <c r="I690" s="29"/>
      <c r="J690" s="29"/>
      <c r="K690" s="29"/>
      <c r="L690" s="29"/>
      <c r="M690" s="29"/>
      <c r="N690" s="44"/>
      <c r="O690" s="29"/>
      <c r="P690" s="29"/>
      <c r="Q690" s="29"/>
      <c r="R690" s="44"/>
      <c r="S690" s="29"/>
      <c r="T690" s="29"/>
    </row>
    <row r="691" spans="2:20" ht="18" x14ac:dyDescent="0.35">
      <c r="B691" s="27"/>
      <c r="C691" s="27"/>
      <c r="D691" s="55" t="s">
        <v>43</v>
      </c>
      <c r="E691" s="27"/>
      <c r="F691" s="27"/>
      <c r="G691" s="42"/>
      <c r="H691" s="43"/>
      <c r="I691" s="29"/>
      <c r="J691" s="29"/>
      <c r="K691" s="29"/>
      <c r="L691" s="29"/>
      <c r="M691" s="29"/>
      <c r="N691" s="44"/>
      <c r="O691" s="29"/>
      <c r="P691" s="29"/>
      <c r="Q691" s="29"/>
      <c r="R691" s="44"/>
      <c r="S691" s="29"/>
      <c r="T691" s="29"/>
    </row>
    <row r="692" spans="2:20" ht="15.6" x14ac:dyDescent="0.3">
      <c r="B692" s="59">
        <v>1</v>
      </c>
      <c r="C692" s="59" t="s">
        <v>992</v>
      </c>
      <c r="D692" s="33" t="s">
        <v>993</v>
      </c>
      <c r="E692" s="34">
        <v>45107</v>
      </c>
      <c r="F692" s="35"/>
      <c r="G692" s="36">
        <v>10</v>
      </c>
      <c r="H692" s="37">
        <f>+F692/G692</f>
        <v>0</v>
      </c>
      <c r="I692" s="35"/>
      <c r="J692" s="35"/>
      <c r="K692" s="35"/>
      <c r="L692" s="35"/>
      <c r="M692" s="35"/>
      <c r="N692" s="35">
        <f>+M692-O692</f>
        <v>0</v>
      </c>
      <c r="O692" s="35"/>
      <c r="P692" s="38"/>
      <c r="Q692" s="38"/>
      <c r="R692" s="38">
        <f>SUM(P692:Q692)</f>
        <v>0</v>
      </c>
      <c r="S692" s="38"/>
      <c r="T692" s="40"/>
    </row>
    <row r="693" spans="2:20" ht="15.6" x14ac:dyDescent="0.3">
      <c r="B693" s="59">
        <f>+B692+1</f>
        <v>2</v>
      </c>
      <c r="C693" s="32" t="s">
        <v>994</v>
      </c>
      <c r="D693" s="33" t="s">
        <v>995</v>
      </c>
      <c r="E693" s="34">
        <v>45107</v>
      </c>
      <c r="F693" s="35">
        <f>4*G693</f>
        <v>40</v>
      </c>
      <c r="G693" s="36">
        <v>10</v>
      </c>
      <c r="H693" s="37">
        <f>+F693/G693</f>
        <v>4</v>
      </c>
      <c r="I693" s="35"/>
      <c r="J693" s="35"/>
      <c r="K693" s="35"/>
      <c r="L693" s="35"/>
      <c r="M693" s="35">
        <v>-4.3959999999999999</v>
      </c>
      <c r="N693" s="37">
        <f>+M693-O693</f>
        <v>-1.2749999999999999</v>
      </c>
      <c r="O693" s="35">
        <v>-3.121</v>
      </c>
      <c r="P693" s="38">
        <v>0</v>
      </c>
      <c r="Q693" s="38">
        <v>0</v>
      </c>
      <c r="R693" s="39">
        <f>SUM(P693:Q693)</f>
        <v>0</v>
      </c>
      <c r="S693" s="38"/>
      <c r="T693" s="40"/>
    </row>
    <row r="694" spans="2:20" ht="15.6" x14ac:dyDescent="0.3">
      <c r="B694" s="27"/>
      <c r="C694" s="27"/>
      <c r="D694" s="27"/>
      <c r="E694" s="27"/>
      <c r="F694" s="27"/>
      <c r="G694" s="42"/>
      <c r="H694" s="43"/>
      <c r="I694" s="29"/>
      <c r="J694" s="29"/>
      <c r="K694" s="29"/>
      <c r="L694" s="29"/>
      <c r="M694" s="29"/>
      <c r="N694" s="44"/>
      <c r="O694" s="29"/>
      <c r="P694" s="29"/>
      <c r="Q694" s="29"/>
      <c r="R694" s="44"/>
      <c r="S694" s="29"/>
      <c r="T694" s="29"/>
    </row>
    <row r="695" spans="2:20" ht="15.6" x14ac:dyDescent="0.3">
      <c r="B695" s="46">
        <f>COUNT(B683:B694)</f>
        <v>9</v>
      </c>
      <c r="C695" s="46"/>
      <c r="D695" s="47"/>
      <c r="E695" s="47"/>
      <c r="F695" s="47">
        <f>SUM(F683:F694)</f>
        <v>9533.02153</v>
      </c>
      <c r="G695" s="48"/>
      <c r="H695" s="49">
        <f t="shared" ref="H695:O695" si="144">SUM(H683:H694)</f>
        <v>953.30215299999998</v>
      </c>
      <c r="I695" s="47">
        <f t="shared" si="144"/>
        <v>97802.771272000013</v>
      </c>
      <c r="J695" s="47">
        <f t="shared" si="144"/>
        <v>145111.281475</v>
      </c>
      <c r="K695" s="47">
        <f t="shared" si="144"/>
        <v>94736.626224000007</v>
      </c>
      <c r="L695" s="47">
        <f t="shared" si="144"/>
        <v>5409.6399760000004</v>
      </c>
      <c r="M695" s="47">
        <f t="shared" si="144"/>
        <v>8121.9994580000002</v>
      </c>
      <c r="N695" s="50">
        <f t="shared" si="144"/>
        <v>2463.7015740000002</v>
      </c>
      <c r="O695" s="47">
        <f t="shared" si="144"/>
        <v>5658.2978839999996</v>
      </c>
      <c r="P695" s="51"/>
      <c r="Q695" s="51"/>
      <c r="R695" s="52"/>
      <c r="S695" s="51"/>
      <c r="T695" s="53">
        <f>SUM(T683:T694)</f>
        <v>19092</v>
      </c>
    </row>
    <row r="696" spans="2:20" ht="15.6" x14ac:dyDescent="0.3">
      <c r="B696" s="27"/>
      <c r="C696" s="27"/>
      <c r="D696" s="27"/>
      <c r="E696" s="27"/>
      <c r="F696" s="27"/>
      <c r="G696" s="42"/>
      <c r="H696" s="43"/>
      <c r="I696" s="29"/>
      <c r="J696" s="29"/>
      <c r="K696" s="29"/>
      <c r="L696" s="29"/>
      <c r="M696" s="29"/>
      <c r="N696" s="44"/>
      <c r="O696" s="29"/>
      <c r="P696" s="29"/>
      <c r="Q696" s="29"/>
      <c r="R696" s="44"/>
      <c r="S696" s="29"/>
      <c r="T696" s="29"/>
    </row>
    <row r="697" spans="2:20" ht="15.6" x14ac:dyDescent="0.3">
      <c r="B697" s="27"/>
      <c r="C697" s="27"/>
      <c r="D697" s="27"/>
      <c r="E697" s="27"/>
      <c r="F697" s="27"/>
      <c r="G697" s="42"/>
      <c r="H697" s="43"/>
      <c r="I697" s="29"/>
      <c r="J697" s="29"/>
      <c r="K697" s="29"/>
      <c r="L697" s="29"/>
      <c r="M697" s="29"/>
      <c r="N697" s="44"/>
      <c r="O697" s="29"/>
      <c r="P697" s="29"/>
      <c r="Q697" s="29"/>
      <c r="R697" s="44"/>
      <c r="S697" s="29"/>
      <c r="T697" s="29"/>
    </row>
    <row r="698" spans="2:20" ht="18" x14ac:dyDescent="0.35">
      <c r="B698" s="27"/>
      <c r="C698" s="31">
        <v>32</v>
      </c>
      <c r="D698" s="31" t="s">
        <v>996</v>
      </c>
      <c r="E698" s="60"/>
      <c r="F698" s="60"/>
      <c r="G698" s="42"/>
      <c r="H698" s="43"/>
      <c r="I698" s="29"/>
      <c r="J698" s="29"/>
      <c r="K698" s="29"/>
      <c r="L698" s="29"/>
      <c r="M698" s="29"/>
      <c r="N698" s="44"/>
      <c r="O698" s="29"/>
      <c r="P698" s="29"/>
      <c r="Q698" s="29"/>
      <c r="R698" s="44"/>
      <c r="S698" s="29"/>
      <c r="T698" s="29"/>
    </row>
    <row r="699" spans="2:20" ht="15.6" x14ac:dyDescent="0.3">
      <c r="B699" s="27"/>
      <c r="C699" s="27"/>
      <c r="D699" s="27"/>
      <c r="E699" s="27"/>
      <c r="F699" s="27"/>
      <c r="G699" s="42"/>
      <c r="H699" s="43"/>
      <c r="I699" s="29"/>
      <c r="J699" s="29"/>
      <c r="K699" s="29"/>
      <c r="L699" s="29"/>
      <c r="M699" s="29"/>
      <c r="N699" s="44"/>
      <c r="O699" s="29"/>
      <c r="P699" s="29"/>
      <c r="Q699" s="29"/>
      <c r="R699" s="44"/>
      <c r="S699" s="29"/>
      <c r="T699" s="29"/>
    </row>
    <row r="700" spans="2:20" ht="15.6" x14ac:dyDescent="0.3">
      <c r="B700" s="32">
        <v>1</v>
      </c>
      <c r="C700" s="32" t="s">
        <v>997</v>
      </c>
      <c r="D700" s="33" t="s">
        <v>998</v>
      </c>
      <c r="E700" s="34">
        <v>45107</v>
      </c>
      <c r="F700" s="35">
        <f>7.7625*G700</f>
        <v>77.625</v>
      </c>
      <c r="G700" s="36">
        <v>10</v>
      </c>
      <c r="H700" s="37">
        <f>+F700/G700</f>
        <v>7.7625000000000002</v>
      </c>
      <c r="I700" s="35">
        <v>2804.0253200000002</v>
      </c>
      <c r="J700" s="35">
        <v>4488.8028999999997</v>
      </c>
      <c r="K700" s="35">
        <v>9844.9498490000005</v>
      </c>
      <c r="L700" s="35">
        <v>126.74394599999999</v>
      </c>
      <c r="M700" s="35">
        <v>152.53403599999999</v>
      </c>
      <c r="N700" s="37">
        <f>+M700-O700</f>
        <v>109.53593499999999</v>
      </c>
      <c r="O700" s="35">
        <v>42.998100999999998</v>
      </c>
      <c r="P700" s="38">
        <v>15</v>
      </c>
      <c r="Q700" s="38">
        <f>20</f>
        <v>20</v>
      </c>
      <c r="R700" s="39">
        <f>SUM(P700:Q700)</f>
        <v>35</v>
      </c>
      <c r="S700" s="38"/>
      <c r="T700" s="40">
        <v>1153</v>
      </c>
    </row>
    <row r="701" spans="2:20" ht="15.6" x14ac:dyDescent="0.3">
      <c r="B701" s="32">
        <f>+B700+1</f>
        <v>2</v>
      </c>
      <c r="C701" s="32" t="s">
        <v>999</v>
      </c>
      <c r="D701" s="33" t="s">
        <v>1000</v>
      </c>
      <c r="E701" s="34">
        <v>45107</v>
      </c>
      <c r="F701" s="35">
        <f>5.6584*G701</f>
        <v>56.584000000000003</v>
      </c>
      <c r="G701" s="36">
        <v>10</v>
      </c>
      <c r="H701" s="37">
        <f>+F701/G701</f>
        <v>5.6584000000000003</v>
      </c>
      <c r="I701" s="35">
        <v>1812.865967</v>
      </c>
      <c r="J701" s="35">
        <v>2737.9485420000001</v>
      </c>
      <c r="K701" s="35">
        <v>6230.7935950000001</v>
      </c>
      <c r="L701" s="35">
        <v>166.47592900000001</v>
      </c>
      <c r="M701" s="35">
        <v>354.20162699999997</v>
      </c>
      <c r="N701" s="37">
        <f>+M701-O701</f>
        <v>219.86461699999998</v>
      </c>
      <c r="O701" s="35">
        <v>134.33700999999999</v>
      </c>
      <c r="P701" s="38">
        <v>0</v>
      </c>
      <c r="Q701" s="38">
        <v>0</v>
      </c>
      <c r="R701" s="39">
        <f>SUM(P701:Q701)</f>
        <v>0</v>
      </c>
      <c r="S701" s="38"/>
      <c r="T701" s="40">
        <v>948</v>
      </c>
    </row>
    <row r="702" spans="2:20" ht="15.6" x14ac:dyDescent="0.3">
      <c r="B702" s="27"/>
      <c r="C702" s="27"/>
      <c r="D702" s="27"/>
      <c r="E702" s="27"/>
      <c r="F702" s="27"/>
      <c r="G702" s="42"/>
      <c r="H702" s="43"/>
      <c r="I702" s="29"/>
      <c r="J702" s="29"/>
      <c r="K702" s="29"/>
      <c r="L702" s="29"/>
      <c r="M702" s="29"/>
      <c r="N702" s="44"/>
      <c r="O702" s="29"/>
      <c r="P702" s="29"/>
      <c r="Q702" s="29"/>
      <c r="R702" s="44"/>
      <c r="S702" s="29"/>
      <c r="T702" s="29"/>
    </row>
    <row r="703" spans="2:20" ht="18" x14ac:dyDescent="0.35">
      <c r="B703" s="27"/>
      <c r="C703" s="27"/>
      <c r="D703" s="55" t="s">
        <v>43</v>
      </c>
      <c r="E703" s="27"/>
      <c r="F703" s="27"/>
      <c r="G703" s="42"/>
      <c r="H703" s="43"/>
      <c r="I703" s="29"/>
      <c r="J703" s="29"/>
      <c r="K703" s="29"/>
      <c r="L703" s="29"/>
      <c r="M703" s="29"/>
      <c r="N703" s="44"/>
      <c r="O703" s="29"/>
      <c r="P703" s="29"/>
      <c r="Q703" s="29"/>
      <c r="R703" s="44"/>
      <c r="S703" s="29"/>
      <c r="T703" s="29"/>
    </row>
    <row r="704" spans="2:20" ht="15.6" x14ac:dyDescent="0.3">
      <c r="B704" s="32">
        <v>1</v>
      </c>
      <c r="C704" s="32" t="s">
        <v>1001</v>
      </c>
      <c r="D704" s="33" t="s">
        <v>1002</v>
      </c>
      <c r="E704" s="34">
        <v>45107</v>
      </c>
      <c r="F704" s="35"/>
      <c r="G704" s="36">
        <v>10</v>
      </c>
      <c r="H704" s="37">
        <f>+F704/G704</f>
        <v>0</v>
      </c>
      <c r="I704" s="35"/>
      <c r="J704" s="35"/>
      <c r="K704" s="35"/>
      <c r="L704" s="35"/>
      <c r="M704" s="35"/>
      <c r="N704" s="37">
        <f>+M704-O704</f>
        <v>0</v>
      </c>
      <c r="O704" s="35"/>
      <c r="P704" s="38"/>
      <c r="Q704" s="38"/>
      <c r="R704" s="39">
        <f>SUM(P704:Q704)</f>
        <v>0</v>
      </c>
      <c r="S704" s="38"/>
      <c r="T704" s="40"/>
    </row>
    <row r="705" spans="2:20" ht="15.6" x14ac:dyDescent="0.3">
      <c r="B705" s="27"/>
      <c r="C705" s="27"/>
      <c r="D705" s="27"/>
      <c r="E705" s="27"/>
      <c r="F705" s="27"/>
      <c r="G705" s="42"/>
      <c r="H705" s="43"/>
      <c r="I705" s="29"/>
      <c r="J705" s="29"/>
      <c r="K705" s="29"/>
      <c r="L705" s="29"/>
      <c r="M705" s="29"/>
      <c r="N705" s="44"/>
      <c r="O705" s="29"/>
      <c r="P705" s="29"/>
      <c r="Q705" s="29"/>
      <c r="R705" s="44"/>
      <c r="S705" s="29"/>
      <c r="T705" s="29"/>
    </row>
    <row r="706" spans="2:20" ht="15.6" x14ac:dyDescent="0.3">
      <c r="B706" s="46">
        <f>COUNT(B700:B705)</f>
        <v>3</v>
      </c>
      <c r="C706" s="46"/>
      <c r="D706" s="47"/>
      <c r="E706" s="47"/>
      <c r="F706" s="47">
        <f>SUM(F700:F705)</f>
        <v>134.209</v>
      </c>
      <c r="G706" s="48"/>
      <c r="H706" s="49">
        <f>SUM(H700:H705)</f>
        <v>13.4209</v>
      </c>
      <c r="I706" s="47">
        <f>SUM(I700:I705)</f>
        <v>4616.8912870000004</v>
      </c>
      <c r="J706" s="47">
        <f>SUM(J700:J705)</f>
        <v>7226.7514419999998</v>
      </c>
      <c r="K706" s="47">
        <f>SUM(K700:K705)</f>
        <v>16075.743444</v>
      </c>
      <c r="L706" s="47">
        <f>SUM(L700:L705)</f>
        <v>293.219875</v>
      </c>
      <c r="M706" s="47">
        <f>SUM(M700:M705)</f>
        <v>506.73566299999993</v>
      </c>
      <c r="N706" s="50">
        <f>SUM(N700:N705)</f>
        <v>329.40055199999995</v>
      </c>
      <c r="O706" s="47">
        <f>SUM(O700:O705)</f>
        <v>177.33511099999998</v>
      </c>
      <c r="P706" s="51"/>
      <c r="Q706" s="51"/>
      <c r="R706" s="52"/>
      <c r="S706" s="51"/>
      <c r="T706" s="53">
        <f>SUM(T700:T705)</f>
        <v>2101</v>
      </c>
    </row>
    <row r="707" spans="2:20" ht="15.6" x14ac:dyDescent="0.3">
      <c r="B707" s="27"/>
      <c r="C707" s="27"/>
      <c r="D707" s="27"/>
      <c r="E707" s="27"/>
      <c r="F707" s="27"/>
      <c r="G707" s="42"/>
      <c r="H707" s="43"/>
      <c r="I707" s="29"/>
      <c r="J707" s="29"/>
      <c r="K707" s="29"/>
      <c r="L707" s="29"/>
      <c r="M707" s="29"/>
      <c r="N707" s="44"/>
      <c r="O707" s="29"/>
      <c r="P707" s="29"/>
      <c r="Q707" s="29"/>
      <c r="R707" s="44"/>
      <c r="S707" s="29"/>
      <c r="T707" s="29"/>
    </row>
    <row r="708" spans="2:20" ht="15.6" x14ac:dyDescent="0.3">
      <c r="B708" s="27"/>
      <c r="C708" s="27"/>
      <c r="D708" s="27"/>
      <c r="E708" s="27"/>
      <c r="F708" s="27"/>
      <c r="G708" s="42"/>
      <c r="H708" s="43"/>
      <c r="I708" s="29"/>
      <c r="J708" s="29"/>
      <c r="K708" s="29"/>
      <c r="L708" s="29"/>
      <c r="M708" s="29"/>
      <c r="N708" s="44"/>
      <c r="O708" s="29"/>
      <c r="P708" s="29"/>
      <c r="Q708" s="29"/>
      <c r="R708" s="44"/>
      <c r="S708" s="29"/>
      <c r="T708" s="29"/>
    </row>
    <row r="709" spans="2:20" ht="18" x14ac:dyDescent="0.35">
      <c r="B709" s="27"/>
      <c r="C709" s="31">
        <v>33</v>
      </c>
      <c r="D709" s="31" t="s">
        <v>1003</v>
      </c>
      <c r="E709" s="60"/>
      <c r="F709" s="60"/>
      <c r="G709" s="42"/>
      <c r="H709" s="43"/>
      <c r="I709" s="29"/>
      <c r="J709" s="29"/>
      <c r="K709" s="29"/>
      <c r="L709" s="29"/>
      <c r="M709" s="29"/>
      <c r="N709" s="44"/>
      <c r="O709" s="29"/>
      <c r="P709" s="29"/>
      <c r="Q709" s="29"/>
      <c r="R709" s="44"/>
      <c r="S709" s="29"/>
      <c r="T709" s="29"/>
    </row>
    <row r="710" spans="2:20" ht="15.6" x14ac:dyDescent="0.3">
      <c r="B710" s="27"/>
      <c r="C710" s="27"/>
      <c r="D710" s="27"/>
      <c r="E710" s="27"/>
      <c r="F710" s="27"/>
      <c r="G710" s="42"/>
      <c r="H710" s="43"/>
      <c r="I710" s="29"/>
      <c r="J710" s="29"/>
      <c r="K710" s="29"/>
      <c r="L710" s="29"/>
      <c r="M710" s="29"/>
      <c r="N710" s="44"/>
      <c r="O710" s="29"/>
      <c r="P710" s="29"/>
      <c r="Q710" s="29"/>
      <c r="R710" s="44"/>
      <c r="S710" s="29"/>
      <c r="T710" s="29"/>
    </row>
    <row r="711" spans="2:20" ht="15.6" x14ac:dyDescent="0.3">
      <c r="B711" s="59">
        <v>1</v>
      </c>
      <c r="C711" s="59" t="s">
        <v>1004</v>
      </c>
      <c r="D711" s="33" t="s">
        <v>1005</v>
      </c>
      <c r="E711" s="34">
        <v>45291</v>
      </c>
      <c r="F711" s="35">
        <f>7.56*G711</f>
        <v>75.599999999999994</v>
      </c>
      <c r="G711" s="36">
        <v>10</v>
      </c>
      <c r="H711" s="37">
        <f>+F711/G711</f>
        <v>7.56</v>
      </c>
      <c r="I711" s="35">
        <v>5682.0240000000003</v>
      </c>
      <c r="J711" s="35">
        <v>16549.151999999998</v>
      </c>
      <c r="K711" s="35">
        <v>19262.623</v>
      </c>
      <c r="L711" s="35">
        <v>753.16099999999994</v>
      </c>
      <c r="M711" s="35">
        <v>1343.0129999999999</v>
      </c>
      <c r="N711" s="37">
        <f>+M711-O711</f>
        <v>426.72499999999991</v>
      </c>
      <c r="O711" s="35">
        <v>916.28800000000001</v>
      </c>
      <c r="P711" s="38">
        <f>1200</f>
        <v>1200</v>
      </c>
      <c r="Q711" s="38">
        <v>0</v>
      </c>
      <c r="R711" s="39">
        <f>SUM(P711:Q711)</f>
        <v>1200</v>
      </c>
      <c r="S711" s="38"/>
      <c r="T711" s="40">
        <v>1302</v>
      </c>
    </row>
    <row r="712" spans="2:20" ht="15.6" x14ac:dyDescent="0.3">
      <c r="B712" s="59">
        <f>+B711+1</f>
        <v>2</v>
      </c>
      <c r="C712" s="59" t="s">
        <v>1006</v>
      </c>
      <c r="D712" s="33" t="s">
        <v>1007</v>
      </c>
      <c r="E712" s="34">
        <v>45107</v>
      </c>
      <c r="F712" s="35">
        <f>6*G712</f>
        <v>60</v>
      </c>
      <c r="G712" s="36">
        <v>10</v>
      </c>
      <c r="H712" s="37">
        <f>+F712/G712</f>
        <v>6</v>
      </c>
      <c r="I712" s="35">
        <v>19.787490999999999</v>
      </c>
      <c r="J712" s="35">
        <v>44.175776999999997</v>
      </c>
      <c r="K712" s="35">
        <v>27.156582</v>
      </c>
      <c r="L712" s="35">
        <v>0</v>
      </c>
      <c r="M712" s="35">
        <v>-2.9260389999999998</v>
      </c>
      <c r="N712" s="37">
        <f>+M712-O712</f>
        <v>0.36222400000000032</v>
      </c>
      <c r="O712" s="35">
        <v>-3.2882630000000002</v>
      </c>
      <c r="P712" s="38">
        <v>0</v>
      </c>
      <c r="Q712" s="38">
        <v>0</v>
      </c>
      <c r="R712" s="39">
        <f>SUM(P712:Q712)</f>
        <v>0</v>
      </c>
      <c r="S712" s="38"/>
      <c r="T712" s="40">
        <v>1272</v>
      </c>
    </row>
    <row r="713" spans="2:20" ht="15.6" x14ac:dyDescent="0.3">
      <c r="B713" s="59">
        <f t="shared" ref="B713:B715" si="145">+B712+1</f>
        <v>3</v>
      </c>
      <c r="C713" s="59" t="s">
        <v>1008</v>
      </c>
      <c r="D713" s="33" t="s">
        <v>1009</v>
      </c>
      <c r="E713" s="34">
        <v>45107</v>
      </c>
      <c r="F713" s="35">
        <f>3.4*G713</f>
        <v>34</v>
      </c>
      <c r="G713" s="36">
        <v>10</v>
      </c>
      <c r="H713" s="37">
        <f>+F713/G713</f>
        <v>3.4</v>
      </c>
      <c r="I713" s="35">
        <v>-336.50351899999998</v>
      </c>
      <c r="J713" s="35">
        <v>106.946485</v>
      </c>
      <c r="K713" s="35">
        <v>90.691317999999995</v>
      </c>
      <c r="L713" s="35">
        <v>0.83205300000000004</v>
      </c>
      <c r="M713" s="35">
        <v>-10.204832</v>
      </c>
      <c r="N713" s="37">
        <f>+M713-O713</f>
        <v>1.0020059999999997</v>
      </c>
      <c r="O713" s="35">
        <v>-11.206837999999999</v>
      </c>
      <c r="P713" s="38">
        <v>0</v>
      </c>
      <c r="Q713" s="38">
        <v>0</v>
      </c>
      <c r="R713" s="39">
        <f>SUM(P713:Q713)</f>
        <v>0</v>
      </c>
      <c r="S713" s="38"/>
      <c r="T713" s="40">
        <v>522</v>
      </c>
    </row>
    <row r="714" spans="2:20" ht="15.6" x14ac:dyDescent="0.3">
      <c r="B714" s="59">
        <f t="shared" si="145"/>
        <v>4</v>
      </c>
      <c r="C714" s="59" t="s">
        <v>1010</v>
      </c>
      <c r="D714" s="33" t="s">
        <v>1011</v>
      </c>
      <c r="E714" s="34">
        <v>45291</v>
      </c>
      <c r="F714" s="35">
        <f>205.9175*G714</f>
        <v>2059.1749999999997</v>
      </c>
      <c r="G714" s="36">
        <v>10</v>
      </c>
      <c r="H714" s="37">
        <f>+F714/G714</f>
        <v>205.91749999999996</v>
      </c>
      <c r="I714" s="35">
        <v>6500.8429999999998</v>
      </c>
      <c r="J714" s="35">
        <v>18955.260999999999</v>
      </c>
      <c r="K714" s="35">
        <v>15061.816999999999</v>
      </c>
      <c r="L714" s="35">
        <v>1007.721</v>
      </c>
      <c r="M714" s="35">
        <v>1593.807</v>
      </c>
      <c r="N714" s="37">
        <f>+M714-O714</f>
        <v>412.20000000000005</v>
      </c>
      <c r="O714" s="35">
        <v>1181.607</v>
      </c>
      <c r="P714" s="38">
        <f>30+20</f>
        <v>50</v>
      </c>
      <c r="Q714" s="38">
        <v>0</v>
      </c>
      <c r="R714" s="39">
        <f>SUM(P714:Q714)</f>
        <v>50</v>
      </c>
      <c r="S714" s="38"/>
      <c r="T714" s="40">
        <v>2731</v>
      </c>
    </row>
    <row r="715" spans="2:20" ht="15.6" x14ac:dyDescent="0.3">
      <c r="B715" s="59">
        <f t="shared" si="145"/>
        <v>5</v>
      </c>
      <c r="C715" s="59" t="s">
        <v>1012</v>
      </c>
      <c r="D715" s="33" t="s">
        <v>1013</v>
      </c>
      <c r="E715" s="34">
        <v>45291</v>
      </c>
      <c r="F715" s="35">
        <v>469.87400000000002</v>
      </c>
      <c r="G715" s="36">
        <v>10</v>
      </c>
      <c r="H715" s="37">
        <f>+F715/G715</f>
        <v>46.987400000000001</v>
      </c>
      <c r="I715" s="35">
        <v>8318.1790000000001</v>
      </c>
      <c r="J715" s="35">
        <v>44427.510999999999</v>
      </c>
      <c r="K715" s="35">
        <v>55744.034</v>
      </c>
      <c r="L715" s="35">
        <v>5020.99</v>
      </c>
      <c r="M715" s="35">
        <v>2357.8829999999998</v>
      </c>
      <c r="N715" s="37">
        <f>+M715-O715</f>
        <v>1015.7469999999998</v>
      </c>
      <c r="O715" s="35">
        <v>1342.136</v>
      </c>
      <c r="P715" s="38">
        <v>100</v>
      </c>
      <c r="Q715" s="38">
        <v>0</v>
      </c>
      <c r="R715" s="39">
        <f>SUM(P715:Q715)</f>
        <v>100</v>
      </c>
      <c r="S715" s="38"/>
      <c r="T715" s="40">
        <v>1926</v>
      </c>
    </row>
    <row r="716" spans="2:20" ht="15.6" x14ac:dyDescent="0.3">
      <c r="B716" s="27"/>
      <c r="C716" s="27"/>
      <c r="D716" s="27"/>
      <c r="E716" s="27"/>
      <c r="F716" s="27"/>
      <c r="G716" s="42"/>
      <c r="H716" s="43"/>
      <c r="I716" s="29"/>
      <c r="J716" s="29"/>
      <c r="K716" s="29"/>
      <c r="L716" s="29"/>
      <c r="M716" s="29"/>
      <c r="N716" s="44"/>
      <c r="O716" s="29"/>
      <c r="P716" s="29"/>
      <c r="Q716" s="29"/>
      <c r="R716" s="44"/>
      <c r="S716" s="29"/>
      <c r="T716" s="29"/>
    </row>
    <row r="717" spans="2:20" ht="18" x14ac:dyDescent="0.35">
      <c r="B717" s="27"/>
      <c r="C717" s="27"/>
      <c r="D717" s="55" t="s">
        <v>43</v>
      </c>
      <c r="E717" s="27"/>
      <c r="F717" s="27"/>
      <c r="G717" s="42"/>
      <c r="H717" s="43"/>
      <c r="I717" s="29"/>
      <c r="J717" s="29"/>
      <c r="K717" s="29"/>
      <c r="L717" s="29"/>
      <c r="M717" s="29"/>
      <c r="N717" s="44"/>
      <c r="O717" s="29"/>
      <c r="P717" s="29"/>
      <c r="Q717" s="29"/>
      <c r="R717" s="44"/>
      <c r="S717" s="29"/>
      <c r="T717" s="29"/>
    </row>
    <row r="718" spans="2:20" ht="15.6" x14ac:dyDescent="0.3">
      <c r="B718" s="59">
        <v>1</v>
      </c>
      <c r="C718" s="59" t="s">
        <v>1014</v>
      </c>
      <c r="D718" s="33" t="s">
        <v>1015</v>
      </c>
      <c r="E718" s="34">
        <v>45107</v>
      </c>
      <c r="F718" s="35">
        <f>2*G718</f>
        <v>20</v>
      </c>
      <c r="G718" s="36">
        <v>10</v>
      </c>
      <c r="H718" s="37">
        <f>+F718/G718</f>
        <v>2</v>
      </c>
      <c r="I718" s="35">
        <v>-68.170818999999995</v>
      </c>
      <c r="J718" s="35">
        <v>70.587655999999996</v>
      </c>
      <c r="K718" s="35">
        <v>16.494802</v>
      </c>
      <c r="L718" s="35">
        <v>4.5490000000000001E-3</v>
      </c>
      <c r="M718" s="35">
        <v>-5.4399800000000003</v>
      </c>
      <c r="N718" s="37">
        <f>+M718-O718</f>
        <v>0.20618499999999962</v>
      </c>
      <c r="O718" s="35">
        <v>-5.6461649999999999</v>
      </c>
      <c r="P718" s="38">
        <v>0</v>
      </c>
      <c r="Q718" s="38">
        <v>0</v>
      </c>
      <c r="R718" s="39">
        <f>SUM(P718:Q718)</f>
        <v>0</v>
      </c>
      <c r="S718" s="38"/>
      <c r="T718" s="40">
        <v>106</v>
      </c>
    </row>
    <row r="719" spans="2:20" ht="15.6" x14ac:dyDescent="0.3">
      <c r="B719" s="27"/>
      <c r="C719" s="27"/>
      <c r="D719" s="27"/>
      <c r="E719" s="27"/>
      <c r="F719" s="27"/>
      <c r="G719" s="42"/>
      <c r="H719" s="43"/>
      <c r="I719" s="29"/>
      <c r="J719" s="29"/>
      <c r="K719" s="29"/>
      <c r="L719" s="29"/>
      <c r="M719" s="29"/>
      <c r="N719" s="44"/>
      <c r="O719" s="29"/>
      <c r="P719" s="29"/>
      <c r="Q719" s="29"/>
      <c r="R719" s="44"/>
      <c r="S719" s="29"/>
      <c r="T719" s="29"/>
    </row>
    <row r="720" spans="2:20" ht="15.6" x14ac:dyDescent="0.3">
      <c r="B720" s="46">
        <f>COUNT(B711:B719)</f>
        <v>6</v>
      </c>
      <c r="C720" s="46"/>
      <c r="D720" s="47"/>
      <c r="E720" s="47"/>
      <c r="F720" s="47">
        <f>SUM(F711:F719)</f>
        <v>2718.6489999999994</v>
      </c>
      <c r="G720" s="48"/>
      <c r="H720" s="49">
        <f t="shared" ref="H720:O720" si="146">SUM(H711:H719)</f>
        <v>271.86489999999998</v>
      </c>
      <c r="I720" s="47">
        <f t="shared" si="146"/>
        <v>20116.159153000001</v>
      </c>
      <c r="J720" s="47">
        <f t="shared" si="146"/>
        <v>80153.633917999992</v>
      </c>
      <c r="K720" s="47">
        <f t="shared" si="146"/>
        <v>90202.816701999996</v>
      </c>
      <c r="L720" s="47">
        <f t="shared" si="146"/>
        <v>6782.7086019999997</v>
      </c>
      <c r="M720" s="47">
        <f t="shared" si="146"/>
        <v>5276.132149</v>
      </c>
      <c r="N720" s="50">
        <f t="shared" si="146"/>
        <v>1856.2424149999997</v>
      </c>
      <c r="O720" s="47">
        <f t="shared" si="146"/>
        <v>3419.8897339999999</v>
      </c>
      <c r="P720" s="51"/>
      <c r="Q720" s="51"/>
      <c r="R720" s="52"/>
      <c r="S720" s="51"/>
      <c r="T720" s="53">
        <f>SUM(T711:T719)</f>
        <v>7859</v>
      </c>
    </row>
    <row r="721" spans="2:20" ht="15.6" x14ac:dyDescent="0.3">
      <c r="B721" s="27"/>
      <c r="C721" s="27"/>
      <c r="D721" s="27"/>
      <c r="E721" s="27"/>
      <c r="F721" s="27"/>
      <c r="G721" s="42"/>
      <c r="H721" s="43"/>
      <c r="I721" s="29"/>
      <c r="J721" s="29"/>
      <c r="K721" s="29"/>
      <c r="L721" s="29"/>
      <c r="M721" s="29"/>
      <c r="N721" s="44"/>
      <c r="O721" s="29"/>
      <c r="P721" s="29"/>
      <c r="Q721" s="29"/>
      <c r="R721" s="44"/>
      <c r="S721" s="29"/>
      <c r="T721" s="29"/>
    </row>
    <row r="722" spans="2:20" ht="15.6" x14ac:dyDescent="0.3">
      <c r="B722" s="27"/>
      <c r="C722" s="27"/>
      <c r="D722" s="27"/>
      <c r="E722" s="27"/>
      <c r="F722" s="27"/>
      <c r="G722" s="42"/>
      <c r="H722" s="43"/>
      <c r="I722" s="29"/>
      <c r="J722" s="29"/>
      <c r="K722" s="29"/>
      <c r="L722" s="29"/>
      <c r="M722" s="29"/>
      <c r="N722" s="44"/>
      <c r="O722" s="29"/>
      <c r="P722" s="29"/>
      <c r="Q722" s="29"/>
      <c r="R722" s="44"/>
      <c r="S722" s="29"/>
      <c r="T722" s="29"/>
    </row>
    <row r="723" spans="2:20" ht="18" x14ac:dyDescent="0.35">
      <c r="B723" s="27"/>
      <c r="C723" s="31">
        <v>34</v>
      </c>
      <c r="D723" s="31" t="s">
        <v>1016</v>
      </c>
      <c r="E723" s="60"/>
      <c r="F723" s="60"/>
      <c r="G723" s="42"/>
      <c r="H723" s="43"/>
      <c r="I723" s="29"/>
      <c r="J723" s="29"/>
      <c r="K723" s="29"/>
      <c r="L723" s="29"/>
      <c r="M723" s="29"/>
      <c r="N723" s="44"/>
      <c r="O723" s="29"/>
      <c r="P723" s="29"/>
      <c r="Q723" s="29"/>
      <c r="R723" s="44"/>
      <c r="S723" s="29"/>
      <c r="T723" s="29"/>
    </row>
    <row r="724" spans="2:20" ht="15.6" x14ac:dyDescent="0.3">
      <c r="B724" s="27"/>
      <c r="C724" s="27"/>
      <c r="D724" s="27"/>
      <c r="E724" s="27"/>
      <c r="F724" s="27"/>
      <c r="G724" s="42"/>
      <c r="H724" s="43"/>
      <c r="I724" s="29"/>
      <c r="J724" s="29"/>
      <c r="K724" s="29"/>
      <c r="L724" s="29"/>
      <c r="M724" s="29"/>
      <c r="N724" s="44"/>
      <c r="O724" s="29"/>
      <c r="P724" s="29"/>
      <c r="Q724" s="29"/>
      <c r="R724" s="44"/>
      <c r="S724" s="29"/>
      <c r="T724" s="29"/>
    </row>
    <row r="725" spans="2:20" ht="15.6" x14ac:dyDescent="0.3">
      <c r="B725" s="32">
        <v>1</v>
      </c>
      <c r="C725" s="32" t="s">
        <v>1017</v>
      </c>
      <c r="D725" s="33" t="s">
        <v>1018</v>
      </c>
      <c r="E725" s="34">
        <v>45107</v>
      </c>
      <c r="F725" s="35">
        <f>374.923537*G725</f>
        <v>3749.2353700000003</v>
      </c>
      <c r="G725" s="36">
        <v>10</v>
      </c>
      <c r="H725" s="37">
        <f t="shared" ref="H725:H747" si="147">+F725/G725</f>
        <v>374.92353700000001</v>
      </c>
      <c r="I725" s="35">
        <v>6828.482</v>
      </c>
      <c r="J725" s="35">
        <v>11010.186</v>
      </c>
      <c r="K725" s="35">
        <v>6884.9179999999997</v>
      </c>
      <c r="L725" s="35">
        <v>518.00599999999997</v>
      </c>
      <c r="M725" s="35">
        <v>-1448.386</v>
      </c>
      <c r="N725" s="37">
        <f t="shared" ref="N725:N747" si="148">+M725-O725</f>
        <v>378.10300000000007</v>
      </c>
      <c r="O725" s="35">
        <v>-1826.489</v>
      </c>
      <c r="P725" s="38">
        <v>0</v>
      </c>
      <c r="Q725" s="38">
        <v>0</v>
      </c>
      <c r="R725" s="39">
        <f t="shared" ref="R725:R747" si="149">SUM(P725:Q725)</f>
        <v>0</v>
      </c>
      <c r="S725" s="38">
        <v>25</v>
      </c>
      <c r="T725" s="40">
        <v>5871</v>
      </c>
    </row>
    <row r="726" spans="2:20" ht="15.6" x14ac:dyDescent="0.3">
      <c r="B726" s="59">
        <f>+B725+1</f>
        <v>2</v>
      </c>
      <c r="C726" s="59" t="s">
        <v>1019</v>
      </c>
      <c r="D726" s="45" t="s">
        <v>1020</v>
      </c>
      <c r="E726" s="34">
        <v>45107</v>
      </c>
      <c r="F726" s="35">
        <f>66.805269*G726</f>
        <v>668.05268999999998</v>
      </c>
      <c r="G726" s="36">
        <v>10</v>
      </c>
      <c r="H726" s="37">
        <f>+F726/G726</f>
        <v>66.805268999999996</v>
      </c>
      <c r="I726" s="35">
        <v>1955.503882</v>
      </c>
      <c r="J726" s="35">
        <v>4060.6353760000002</v>
      </c>
      <c r="K726" s="35">
        <v>5686.6226390000002</v>
      </c>
      <c r="L726" s="35">
        <v>208.25241199999999</v>
      </c>
      <c r="M726" s="35">
        <v>198.18913000000001</v>
      </c>
      <c r="N726" s="37">
        <f t="shared" si="148"/>
        <v>66.684847000000019</v>
      </c>
      <c r="O726" s="35">
        <v>131.50428299999999</v>
      </c>
      <c r="P726" s="38">
        <v>0</v>
      </c>
      <c r="Q726" s="38">
        <v>0</v>
      </c>
      <c r="R726" s="39">
        <f>SUM(P726:Q726)</f>
        <v>0</v>
      </c>
      <c r="S726" s="38"/>
      <c r="T726" s="40">
        <v>2792</v>
      </c>
    </row>
    <row r="727" spans="2:20" ht="15.6" x14ac:dyDescent="0.3">
      <c r="B727" s="59">
        <f t="shared" ref="B727:B747" si="150">+B726+1</f>
        <v>3</v>
      </c>
      <c r="C727" s="32" t="s">
        <v>1021</v>
      </c>
      <c r="D727" s="33" t="s">
        <v>1022</v>
      </c>
      <c r="E727" s="34">
        <v>45107</v>
      </c>
      <c r="F727" s="35">
        <f>31.143059*G727</f>
        <v>311.43059</v>
      </c>
      <c r="G727" s="36">
        <v>10</v>
      </c>
      <c r="H727" s="37">
        <f t="shared" si="147"/>
        <v>31.143059000000001</v>
      </c>
      <c r="I727" s="35">
        <v>86.186999999999998</v>
      </c>
      <c r="J727" s="35">
        <v>122.48099999999999</v>
      </c>
      <c r="K727" s="35">
        <v>59.411999999999999</v>
      </c>
      <c r="L727" s="35">
        <v>1.6E-2</v>
      </c>
      <c r="M727" s="35">
        <v>-69.978999999999999</v>
      </c>
      <c r="N727" s="37">
        <f t="shared" si="148"/>
        <v>1.269999999999996</v>
      </c>
      <c r="O727" s="35">
        <v>-71.248999999999995</v>
      </c>
      <c r="P727" s="38">
        <v>0</v>
      </c>
      <c r="Q727" s="38">
        <v>0</v>
      </c>
      <c r="R727" s="39">
        <f t="shared" si="149"/>
        <v>0</v>
      </c>
      <c r="S727" s="38"/>
      <c r="T727" s="40">
        <v>2692</v>
      </c>
    </row>
    <row r="728" spans="2:20" ht="15.6" x14ac:dyDescent="0.3">
      <c r="B728" s="59">
        <f t="shared" si="150"/>
        <v>4</v>
      </c>
      <c r="C728" s="32" t="s">
        <v>1023</v>
      </c>
      <c r="D728" s="33" t="s">
        <v>1024</v>
      </c>
      <c r="E728" s="34">
        <v>45291</v>
      </c>
      <c r="F728" s="35">
        <v>7665.9607500000002</v>
      </c>
      <c r="G728" s="36">
        <v>10</v>
      </c>
      <c r="H728" s="37">
        <f t="shared" si="147"/>
        <v>766.59607500000004</v>
      </c>
      <c r="I728" s="35">
        <v>14176.02</v>
      </c>
      <c r="J728" s="35">
        <v>41886.802000000003</v>
      </c>
      <c r="K728" s="35">
        <v>100235.40300000001</v>
      </c>
      <c r="L728" s="35">
        <v>3126.9879999999998</v>
      </c>
      <c r="M728" s="35">
        <v>2990.3870000000002</v>
      </c>
      <c r="N728" s="37">
        <f t="shared" si="148"/>
        <v>1481.6010000000001</v>
      </c>
      <c r="O728" s="35">
        <v>1508.7860000000001</v>
      </c>
      <c r="P728" s="38">
        <v>0</v>
      </c>
      <c r="Q728" s="38">
        <v>0</v>
      </c>
      <c r="R728" s="39">
        <f t="shared" si="149"/>
        <v>0</v>
      </c>
      <c r="S728" s="38"/>
      <c r="T728" s="40">
        <v>7791</v>
      </c>
    </row>
    <row r="729" spans="2:20" ht="15.6" x14ac:dyDescent="0.3">
      <c r="B729" s="32">
        <f t="shared" si="150"/>
        <v>5</v>
      </c>
      <c r="C729" s="32" t="s">
        <v>1025</v>
      </c>
      <c r="D729" s="33" t="s">
        <v>1026</v>
      </c>
      <c r="E729" s="34">
        <v>45291</v>
      </c>
      <c r="F729" s="35">
        <v>25199.631389999999</v>
      </c>
      <c r="G729" s="36">
        <v>10</v>
      </c>
      <c r="H729" s="37">
        <f t="shared" si="147"/>
        <v>2519.963139</v>
      </c>
      <c r="I729" s="35">
        <v>14055.42706</v>
      </c>
      <c r="J729" s="35">
        <v>16210.308430999999</v>
      </c>
      <c r="K729" s="35">
        <v>19809.035758999999</v>
      </c>
      <c r="L729" s="35">
        <v>323.792596</v>
      </c>
      <c r="M729" s="35">
        <v>273.25084900000002</v>
      </c>
      <c r="N729" s="37">
        <f t="shared" si="148"/>
        <v>-331.86081200000001</v>
      </c>
      <c r="O729" s="35">
        <v>605.11166100000003</v>
      </c>
      <c r="P729" s="38">
        <v>0</v>
      </c>
      <c r="Q729" s="38">
        <v>0</v>
      </c>
      <c r="R729" s="39">
        <f t="shared" si="149"/>
        <v>0</v>
      </c>
      <c r="S729" s="38"/>
      <c r="T729" s="40">
        <v>12077</v>
      </c>
    </row>
    <row r="730" spans="2:20" ht="15.6" x14ac:dyDescent="0.3">
      <c r="B730" s="32">
        <f t="shared" si="150"/>
        <v>6</v>
      </c>
      <c r="C730" s="32" t="s">
        <v>1027</v>
      </c>
      <c r="D730" s="33" t="s">
        <v>1028</v>
      </c>
      <c r="E730" s="34">
        <v>45107</v>
      </c>
      <c r="F730" s="35">
        <f>0.3*G730</f>
        <v>3</v>
      </c>
      <c r="G730" s="36">
        <v>10</v>
      </c>
      <c r="H730" s="37">
        <f t="shared" si="147"/>
        <v>0.3</v>
      </c>
      <c r="I730" s="35">
        <v>1004.882285</v>
      </c>
      <c r="J730" s="35">
        <v>1120.5282850000001</v>
      </c>
      <c r="K730" s="35">
        <v>1770.3650479999999</v>
      </c>
      <c r="L730" s="35">
        <v>1.3788E-2</v>
      </c>
      <c r="M730" s="35">
        <v>6.078335</v>
      </c>
      <c r="N730" s="37">
        <f t="shared" si="148"/>
        <v>1.7511729999999996</v>
      </c>
      <c r="O730" s="35">
        <v>4.3271620000000004</v>
      </c>
      <c r="P730" s="38">
        <v>30</v>
      </c>
      <c r="Q730" s="38">
        <v>0</v>
      </c>
      <c r="R730" s="39">
        <f t="shared" si="149"/>
        <v>30</v>
      </c>
      <c r="S730" s="38"/>
      <c r="T730" s="40">
        <v>80</v>
      </c>
    </row>
    <row r="731" spans="2:20" ht="15.6" x14ac:dyDescent="0.3">
      <c r="B731" s="32">
        <f t="shared" si="150"/>
        <v>7</v>
      </c>
      <c r="C731" s="59" t="s">
        <v>1029</v>
      </c>
      <c r="D731" s="33" t="s">
        <v>1030</v>
      </c>
      <c r="E731" s="34">
        <v>45107</v>
      </c>
      <c r="F731" s="35">
        <f>31.872*G731</f>
        <v>318.72000000000003</v>
      </c>
      <c r="G731" s="36">
        <v>10</v>
      </c>
      <c r="H731" s="37">
        <f t="shared" si="147"/>
        <v>31.872000000000003</v>
      </c>
      <c r="I731" s="35">
        <v>1011.953</v>
      </c>
      <c r="J731" s="35">
        <v>3094.529</v>
      </c>
      <c r="K731" s="35">
        <v>3024.5309999999999</v>
      </c>
      <c r="L731" s="35">
        <v>0.17899999999999999</v>
      </c>
      <c r="M731" s="35">
        <v>271.12799999999999</v>
      </c>
      <c r="N731" s="37">
        <f t="shared" si="148"/>
        <v>157.22899999999998</v>
      </c>
      <c r="O731" s="35">
        <v>113.899</v>
      </c>
      <c r="P731" s="38">
        <v>0</v>
      </c>
      <c r="Q731" s="38">
        <v>0</v>
      </c>
      <c r="R731" s="39">
        <f t="shared" si="149"/>
        <v>0</v>
      </c>
      <c r="S731" s="38"/>
      <c r="T731" s="40">
        <v>1040</v>
      </c>
    </row>
    <row r="732" spans="2:20" ht="15.6" x14ac:dyDescent="0.3">
      <c r="B732" s="32">
        <f t="shared" si="150"/>
        <v>8</v>
      </c>
      <c r="C732" s="32" t="s">
        <v>1031</v>
      </c>
      <c r="D732" s="33" t="s">
        <v>1032</v>
      </c>
      <c r="E732" s="34">
        <v>45107</v>
      </c>
      <c r="F732" s="35">
        <v>663.56939999999997</v>
      </c>
      <c r="G732" s="36">
        <v>10</v>
      </c>
      <c r="H732" s="37">
        <f t="shared" si="147"/>
        <v>66.356939999999994</v>
      </c>
      <c r="I732" s="35">
        <v>17715.733257</v>
      </c>
      <c r="J732" s="35">
        <v>73055.595734000002</v>
      </c>
      <c r="K732" s="35">
        <v>88905.795924999999</v>
      </c>
      <c r="L732" s="35">
        <v>4399.4437289999996</v>
      </c>
      <c r="M732" s="35">
        <v>7531.4815950000002</v>
      </c>
      <c r="N732" s="37">
        <f t="shared" si="148"/>
        <v>1149.797012</v>
      </c>
      <c r="O732" s="35">
        <v>6381.6845830000002</v>
      </c>
      <c r="P732" s="38">
        <f>100+20</f>
        <v>120</v>
      </c>
      <c r="Q732" s="38">
        <v>0</v>
      </c>
      <c r="R732" s="39">
        <f t="shared" si="149"/>
        <v>120</v>
      </c>
      <c r="S732" s="38"/>
      <c r="T732" s="40">
        <v>1554</v>
      </c>
    </row>
    <row r="733" spans="2:20" ht="15.6" x14ac:dyDescent="0.3">
      <c r="B733" s="32">
        <f t="shared" si="150"/>
        <v>9</v>
      </c>
      <c r="C733" s="32" t="s">
        <v>1033</v>
      </c>
      <c r="D733" s="33" t="s">
        <v>1034</v>
      </c>
      <c r="E733" s="34">
        <v>45107</v>
      </c>
      <c r="F733" s="35">
        <f>22.875*G733</f>
        <v>228.75</v>
      </c>
      <c r="G733" s="36">
        <v>10</v>
      </c>
      <c r="H733" s="37">
        <f t="shared" si="147"/>
        <v>22.875</v>
      </c>
      <c r="I733" s="35">
        <v>143.74606299999999</v>
      </c>
      <c r="J733" s="35">
        <v>1620.5342470000001</v>
      </c>
      <c r="K733" s="35">
        <v>2724.9308900000001</v>
      </c>
      <c r="L733" s="35">
        <v>85.083157</v>
      </c>
      <c r="M733" s="35">
        <v>-25.912255999999999</v>
      </c>
      <c r="N733" s="37">
        <f t="shared" si="148"/>
        <v>33.285040000000002</v>
      </c>
      <c r="O733" s="35">
        <v>-59.197296000000001</v>
      </c>
      <c r="P733" s="38">
        <v>0</v>
      </c>
      <c r="Q733" s="38">
        <v>0</v>
      </c>
      <c r="R733" s="39">
        <f t="shared" si="149"/>
        <v>0</v>
      </c>
      <c r="S733" s="38"/>
      <c r="T733" s="40">
        <v>1642</v>
      </c>
    </row>
    <row r="734" spans="2:20" ht="15.6" x14ac:dyDescent="0.3">
      <c r="B734" s="32">
        <f t="shared" si="150"/>
        <v>10</v>
      </c>
      <c r="C734" s="32" t="s">
        <v>1035</v>
      </c>
      <c r="D734" s="33" t="s">
        <v>1036</v>
      </c>
      <c r="E734" s="34">
        <v>45199</v>
      </c>
      <c r="F734" s="35">
        <v>1224.0069800000001</v>
      </c>
      <c r="G734" s="36">
        <v>10</v>
      </c>
      <c r="H734" s="37">
        <f t="shared" si="147"/>
        <v>122.40069800000001</v>
      </c>
      <c r="I734" s="35">
        <v>7484.1459510000004</v>
      </c>
      <c r="J734" s="35">
        <v>21046.906638</v>
      </c>
      <c r="K734" s="35">
        <v>19985.401100999999</v>
      </c>
      <c r="L734" s="35">
        <v>1182.3622989999999</v>
      </c>
      <c r="M734" s="35">
        <v>763.80502200000001</v>
      </c>
      <c r="N734" s="37">
        <f t="shared" si="148"/>
        <v>208.18700100000001</v>
      </c>
      <c r="O734" s="35">
        <v>555.618021</v>
      </c>
      <c r="P734" s="38">
        <f>5+5+5</f>
        <v>15</v>
      </c>
      <c r="Q734" s="38">
        <v>0</v>
      </c>
      <c r="R734" s="39">
        <f t="shared" si="149"/>
        <v>15</v>
      </c>
      <c r="S734" s="38"/>
      <c r="T734" s="40">
        <v>1768</v>
      </c>
    </row>
    <row r="735" spans="2:20" ht="15.6" x14ac:dyDescent="0.3">
      <c r="B735" s="32">
        <f t="shared" si="150"/>
        <v>11</v>
      </c>
      <c r="C735" s="59" t="s">
        <v>1037</v>
      </c>
      <c r="D735" s="33" t="s">
        <v>1038</v>
      </c>
      <c r="E735" s="34">
        <v>45107</v>
      </c>
      <c r="F735" s="35">
        <v>276.63600000000002</v>
      </c>
      <c r="G735" s="36">
        <v>10</v>
      </c>
      <c r="H735" s="37">
        <f t="shared" si="147"/>
        <v>27.663600000000002</v>
      </c>
      <c r="I735" s="35">
        <v>13333.992</v>
      </c>
      <c r="J735" s="35">
        <v>16651.261999999999</v>
      </c>
      <c r="K735" s="35">
        <v>18591.183000000001</v>
      </c>
      <c r="L735" s="35">
        <v>10.335000000000001</v>
      </c>
      <c r="M735" s="35">
        <v>2124.665</v>
      </c>
      <c r="N735" s="37">
        <f t="shared" si="148"/>
        <v>850.97599999999989</v>
      </c>
      <c r="O735" s="35">
        <v>1273.6890000000001</v>
      </c>
      <c r="P735" s="38">
        <f>50+50</f>
        <v>100</v>
      </c>
      <c r="Q735" s="38">
        <v>0</v>
      </c>
      <c r="R735" s="39">
        <f t="shared" si="149"/>
        <v>100</v>
      </c>
      <c r="S735" s="38"/>
      <c r="T735" s="40">
        <v>1268</v>
      </c>
    </row>
    <row r="736" spans="2:20" ht="15.6" x14ac:dyDescent="0.3">
      <c r="B736" s="32">
        <f t="shared" si="150"/>
        <v>12</v>
      </c>
      <c r="C736" s="32" t="s">
        <v>1039</v>
      </c>
      <c r="D736" s="33" t="s">
        <v>1040</v>
      </c>
      <c r="E736" s="34">
        <v>45107</v>
      </c>
      <c r="F736" s="35">
        <f>233115250*5/1000000</f>
        <v>1165.5762500000001</v>
      </c>
      <c r="G736" s="36">
        <v>5</v>
      </c>
      <c r="H736" s="37">
        <f t="shared" si="147"/>
        <v>233.11525</v>
      </c>
      <c r="I736" s="35">
        <v>7524.6040000000003</v>
      </c>
      <c r="J736" s="35">
        <v>25156.377</v>
      </c>
      <c r="K736" s="35">
        <v>29602.876</v>
      </c>
      <c r="L736" s="35">
        <v>621.39099999999996</v>
      </c>
      <c r="M736" s="35">
        <v>2701.944</v>
      </c>
      <c r="N736" s="37">
        <f t="shared" si="148"/>
        <v>513.904</v>
      </c>
      <c r="O736" s="35">
        <v>2188.04</v>
      </c>
      <c r="P736" s="38">
        <v>50</v>
      </c>
      <c r="Q736" s="38">
        <v>0</v>
      </c>
      <c r="R736" s="39">
        <f t="shared" si="149"/>
        <v>50</v>
      </c>
      <c r="S736" s="38"/>
      <c r="T736" s="40">
        <v>4747</v>
      </c>
    </row>
    <row r="737" spans="2:20" ht="15.6" x14ac:dyDescent="0.3">
      <c r="B737" s="32">
        <f t="shared" si="150"/>
        <v>13</v>
      </c>
      <c r="C737" s="32" t="s">
        <v>1041</v>
      </c>
      <c r="D737" s="33" t="s">
        <v>1042</v>
      </c>
      <c r="E737" s="34">
        <v>45291</v>
      </c>
      <c r="F737" s="35">
        <v>453.49551000000002</v>
      </c>
      <c r="G737" s="36">
        <v>10</v>
      </c>
      <c r="H737" s="37">
        <f t="shared" si="147"/>
        <v>45.349551000000005</v>
      </c>
      <c r="I737" s="35">
        <v>10588.057000000001</v>
      </c>
      <c r="J737" s="35">
        <v>97889.910999999993</v>
      </c>
      <c r="K737" s="35">
        <v>200605.005</v>
      </c>
      <c r="L737" s="35">
        <v>2623.8530000000001</v>
      </c>
      <c r="M737" s="35">
        <v>29044.868999999999</v>
      </c>
      <c r="N737" s="37">
        <f t="shared" si="148"/>
        <v>12552.07</v>
      </c>
      <c r="O737" s="35">
        <v>16492.798999999999</v>
      </c>
      <c r="P737" s="38">
        <f>1210+530+190</f>
        <v>1930</v>
      </c>
      <c r="Q737" s="38">
        <v>0</v>
      </c>
      <c r="R737" s="39">
        <f t="shared" si="149"/>
        <v>1930</v>
      </c>
      <c r="S737" s="38"/>
      <c r="T737" s="40">
        <v>1097</v>
      </c>
    </row>
    <row r="738" spans="2:20" ht="15.6" x14ac:dyDescent="0.3">
      <c r="B738" s="32">
        <f t="shared" si="150"/>
        <v>14</v>
      </c>
      <c r="C738" s="32" t="s">
        <v>1043</v>
      </c>
      <c r="D738" s="33" t="s">
        <v>1044</v>
      </c>
      <c r="E738" s="34">
        <v>45107</v>
      </c>
      <c r="F738" s="35">
        <f>218.63943*G738</f>
        <v>2186.3942999999999</v>
      </c>
      <c r="G738" s="36">
        <v>10</v>
      </c>
      <c r="H738" s="37">
        <f t="shared" si="147"/>
        <v>218.63943</v>
      </c>
      <c r="I738" s="35">
        <v>4803.0889999999999</v>
      </c>
      <c r="J738" s="35">
        <v>7289.7529999999997</v>
      </c>
      <c r="K738" s="35">
        <v>10190.852999999999</v>
      </c>
      <c r="L738" s="35">
        <v>225.995</v>
      </c>
      <c r="M738" s="35">
        <v>1224.3</v>
      </c>
      <c r="N738" s="37">
        <f t="shared" si="148"/>
        <v>-23.481999999999971</v>
      </c>
      <c r="O738" s="35">
        <v>1247.7819999999999</v>
      </c>
      <c r="P738" s="38">
        <v>0</v>
      </c>
      <c r="Q738" s="38">
        <v>0</v>
      </c>
      <c r="R738" s="39">
        <f t="shared" si="149"/>
        <v>0</v>
      </c>
      <c r="S738" s="38"/>
      <c r="T738" s="40">
        <v>1895</v>
      </c>
    </row>
    <row r="739" spans="2:20" ht="15.6" x14ac:dyDescent="0.3">
      <c r="B739" s="32">
        <f t="shared" si="150"/>
        <v>15</v>
      </c>
      <c r="C739" s="32" t="s">
        <v>1045</v>
      </c>
      <c r="D739" s="33" t="s">
        <v>1046</v>
      </c>
      <c r="E739" s="34">
        <v>45107</v>
      </c>
      <c r="F739" s="35">
        <f>98.461828*G739</f>
        <v>984.61827999999991</v>
      </c>
      <c r="G739" s="36">
        <v>10</v>
      </c>
      <c r="H739" s="37">
        <f t="shared" si="147"/>
        <v>98.461827999999997</v>
      </c>
      <c r="I739" s="35">
        <v>471.33886100000001</v>
      </c>
      <c r="J739" s="35">
        <v>1405.5826010000001</v>
      </c>
      <c r="K739" s="35">
        <v>838.44944899999996</v>
      </c>
      <c r="L739" s="35">
        <v>0.40178199999999997</v>
      </c>
      <c r="M739" s="35">
        <v>-4.5288529999999998</v>
      </c>
      <c r="N739" s="37">
        <f t="shared" si="148"/>
        <v>7.8008679999999995</v>
      </c>
      <c r="O739" s="35">
        <v>-12.329720999999999</v>
      </c>
      <c r="P739" s="38">
        <v>0</v>
      </c>
      <c r="Q739" s="38">
        <v>0</v>
      </c>
      <c r="R739" s="39">
        <f t="shared" si="149"/>
        <v>0</v>
      </c>
      <c r="S739" s="38"/>
      <c r="T739" s="40">
        <v>4550</v>
      </c>
    </row>
    <row r="740" spans="2:20" ht="15.6" x14ac:dyDescent="0.3">
      <c r="B740" s="32">
        <f t="shared" si="150"/>
        <v>16</v>
      </c>
      <c r="C740" s="32" t="s">
        <v>1047</v>
      </c>
      <c r="D740" s="33" t="s">
        <v>1048</v>
      </c>
      <c r="E740" s="34">
        <v>45291</v>
      </c>
      <c r="F740" s="35">
        <v>92.364000000000004</v>
      </c>
      <c r="G740" s="36">
        <v>10</v>
      </c>
      <c r="H740" s="37">
        <f t="shared" si="147"/>
        <v>9.2363999999999997</v>
      </c>
      <c r="I740" s="35">
        <v>23036.983</v>
      </c>
      <c r="J740" s="35">
        <f>9366.776+41920.727</f>
        <v>51287.502999999997</v>
      </c>
      <c r="K740" s="35">
        <v>65466.7</v>
      </c>
      <c r="L740" s="35">
        <v>501.803</v>
      </c>
      <c r="M740" s="35">
        <v>12000.334999999999</v>
      </c>
      <c r="N740" s="37">
        <f t="shared" si="148"/>
        <v>5087.5569999999989</v>
      </c>
      <c r="O740" s="35">
        <v>6912.7780000000002</v>
      </c>
      <c r="P740" s="38">
        <f>750+750+1000+1000</f>
        <v>3500</v>
      </c>
      <c r="Q740" s="38">
        <v>0</v>
      </c>
      <c r="R740" s="39">
        <f t="shared" si="149"/>
        <v>3500</v>
      </c>
      <c r="S740" s="38"/>
      <c r="T740" s="40">
        <v>927</v>
      </c>
    </row>
    <row r="741" spans="2:20" ht="15.6" x14ac:dyDescent="0.3">
      <c r="B741" s="32">
        <f t="shared" si="150"/>
        <v>17</v>
      </c>
      <c r="C741" s="59" t="s">
        <v>1049</v>
      </c>
      <c r="D741" s="33" t="s">
        <v>1050</v>
      </c>
      <c r="E741" s="34">
        <v>45107</v>
      </c>
      <c r="F741" s="35">
        <f>3.9*G741</f>
        <v>39</v>
      </c>
      <c r="G741" s="36">
        <v>10</v>
      </c>
      <c r="H741" s="37">
        <f t="shared" si="147"/>
        <v>3.9</v>
      </c>
      <c r="I741" s="35">
        <v>748.92388800000003</v>
      </c>
      <c r="J741" s="35">
        <v>2926.8376990000002</v>
      </c>
      <c r="K741" s="35">
        <v>4357.6314309999998</v>
      </c>
      <c r="L741" s="35">
        <v>203.12626700000001</v>
      </c>
      <c r="M741" s="35">
        <v>227.055598</v>
      </c>
      <c r="N741" s="37">
        <f t="shared" si="148"/>
        <v>82.091442999999998</v>
      </c>
      <c r="O741" s="35">
        <v>144.96415500000001</v>
      </c>
      <c r="P741" s="38">
        <v>0</v>
      </c>
      <c r="Q741" s="38">
        <v>0</v>
      </c>
      <c r="R741" s="39">
        <f t="shared" si="149"/>
        <v>0</v>
      </c>
      <c r="S741" s="38"/>
      <c r="T741" s="40">
        <v>345</v>
      </c>
    </row>
    <row r="742" spans="2:20" ht="15.6" x14ac:dyDescent="0.3">
      <c r="B742" s="32">
        <f t="shared" si="150"/>
        <v>18</v>
      </c>
      <c r="C742" s="59" t="s">
        <v>1051</v>
      </c>
      <c r="D742" s="33" t="s">
        <v>1052</v>
      </c>
      <c r="E742" s="34">
        <v>45107</v>
      </c>
      <c r="F742" s="35">
        <f>9.66306*G742</f>
        <v>96.630600000000001</v>
      </c>
      <c r="G742" s="36">
        <v>10</v>
      </c>
      <c r="H742" s="37">
        <f t="shared" si="147"/>
        <v>9.6630599999999998</v>
      </c>
      <c r="I742" s="35">
        <v>2095.607</v>
      </c>
      <c r="J742" s="35">
        <v>4915.8239999999996</v>
      </c>
      <c r="K742" s="35">
        <v>8745.4240000000009</v>
      </c>
      <c r="L742" s="35">
        <v>279.654</v>
      </c>
      <c r="M742" s="35">
        <v>171.803</v>
      </c>
      <c r="N742" s="37">
        <f t="shared" si="148"/>
        <v>133.03800000000001</v>
      </c>
      <c r="O742" s="35">
        <v>38.765000000000001</v>
      </c>
      <c r="P742" s="38">
        <v>20</v>
      </c>
      <c r="Q742" s="38">
        <v>0</v>
      </c>
      <c r="R742" s="39">
        <f t="shared" si="149"/>
        <v>20</v>
      </c>
      <c r="S742" s="38"/>
      <c r="T742" s="40">
        <v>824</v>
      </c>
    </row>
    <row r="743" spans="2:20" ht="15.6" x14ac:dyDescent="0.3">
      <c r="B743" s="32">
        <f t="shared" si="150"/>
        <v>19</v>
      </c>
      <c r="C743" s="59" t="s">
        <v>1053</v>
      </c>
      <c r="D743" s="33" t="s">
        <v>1054</v>
      </c>
      <c r="E743" s="34">
        <v>45107</v>
      </c>
      <c r="F743" s="35">
        <v>1349.92012</v>
      </c>
      <c r="G743" s="36">
        <v>10</v>
      </c>
      <c r="H743" s="37">
        <f t="shared" si="147"/>
        <v>134.99201199999999</v>
      </c>
      <c r="I743" s="35">
        <v>4539.5107180000005</v>
      </c>
      <c r="J743" s="35">
        <v>5815.4092620000001</v>
      </c>
      <c r="K743" s="35">
        <v>6365.2382250000001</v>
      </c>
      <c r="L743" s="35">
        <v>181.02829700000001</v>
      </c>
      <c r="M743" s="35">
        <v>788.883556</v>
      </c>
      <c r="N743" s="37">
        <f t="shared" si="148"/>
        <v>66.689130999999975</v>
      </c>
      <c r="O743" s="35">
        <v>722.19442500000002</v>
      </c>
      <c r="P743" s="38">
        <v>0</v>
      </c>
      <c r="Q743" s="38">
        <f>10</f>
        <v>10</v>
      </c>
      <c r="R743" s="39">
        <f t="shared" ref="R743" si="151">SUM(P743:Q743)</f>
        <v>10</v>
      </c>
      <c r="S743" s="38"/>
      <c r="T743" s="40">
        <v>3055</v>
      </c>
    </row>
    <row r="744" spans="2:20" ht="15.6" x14ac:dyDescent="0.3">
      <c r="B744" s="32">
        <f t="shared" si="150"/>
        <v>20</v>
      </c>
      <c r="C744" s="59" t="s">
        <v>1055</v>
      </c>
      <c r="D744" s="33" t="s">
        <v>1056</v>
      </c>
      <c r="E744" s="34">
        <v>45107</v>
      </c>
      <c r="F744" s="35">
        <v>1787.2112199999999</v>
      </c>
      <c r="G744" s="36">
        <v>10</v>
      </c>
      <c r="H744" s="37">
        <f t="shared" si="147"/>
        <v>178.72112199999998</v>
      </c>
      <c r="I744" s="35">
        <v>15320.007</v>
      </c>
      <c r="J744" s="35">
        <f>18819.204+8425.327</f>
        <v>27244.531000000003</v>
      </c>
      <c r="K744" s="35">
        <v>10173.875</v>
      </c>
      <c r="L744" s="35">
        <v>1489.1120000000001</v>
      </c>
      <c r="M744" s="35">
        <v>308.54899999999998</v>
      </c>
      <c r="N744" s="37">
        <f t="shared" si="148"/>
        <v>175.09599999999998</v>
      </c>
      <c r="O744" s="35">
        <v>133.453</v>
      </c>
      <c r="P744" s="38">
        <v>0</v>
      </c>
      <c r="Q744" s="38">
        <v>0</v>
      </c>
      <c r="R744" s="39">
        <f t="shared" si="149"/>
        <v>0</v>
      </c>
      <c r="S744" s="38">
        <v>107.602</v>
      </c>
      <c r="T744" s="40">
        <v>9592</v>
      </c>
    </row>
    <row r="745" spans="2:20" ht="15.6" x14ac:dyDescent="0.3">
      <c r="B745" s="32">
        <f t="shared" si="150"/>
        <v>21</v>
      </c>
      <c r="C745" s="32" t="s">
        <v>1057</v>
      </c>
      <c r="D745" s="33" t="s">
        <v>1058</v>
      </c>
      <c r="E745" s="34">
        <v>45291</v>
      </c>
      <c r="F745" s="35">
        <v>63.69932</v>
      </c>
      <c r="G745" s="36">
        <v>10</v>
      </c>
      <c r="H745" s="37">
        <f t="shared" si="147"/>
        <v>6.3699320000000004</v>
      </c>
      <c r="I745" s="35">
        <v>15659.689</v>
      </c>
      <c r="J745" s="35">
        <v>31059.856</v>
      </c>
      <c r="K745" s="35">
        <v>34586.732000000004</v>
      </c>
      <c r="L745" s="35">
        <v>119.461</v>
      </c>
      <c r="M745" s="35">
        <v>10353.1</v>
      </c>
      <c r="N745" s="37">
        <f t="shared" si="148"/>
        <v>609.06999999999971</v>
      </c>
      <c r="O745" s="35">
        <v>9744.0300000000007</v>
      </c>
      <c r="P745" s="38">
        <f>720+1790+1780</f>
        <v>4290</v>
      </c>
      <c r="Q745" s="38">
        <v>0</v>
      </c>
      <c r="R745" s="39">
        <f t="shared" si="149"/>
        <v>4290</v>
      </c>
      <c r="S745" s="38"/>
      <c r="T745" s="40">
        <v>886</v>
      </c>
    </row>
    <row r="746" spans="2:20" ht="15.6" x14ac:dyDescent="0.3">
      <c r="B746" s="32">
        <f t="shared" si="150"/>
        <v>22</v>
      </c>
      <c r="C746" s="59" t="s">
        <v>1059</v>
      </c>
      <c r="D746" s="45" t="s">
        <v>1060</v>
      </c>
      <c r="E746" s="34">
        <v>45107</v>
      </c>
      <c r="F746" s="35">
        <f>1194.05*G746</f>
        <v>11940.5</v>
      </c>
      <c r="G746" s="36">
        <v>10</v>
      </c>
      <c r="H746" s="37">
        <f>+F746/G746</f>
        <v>1194.05</v>
      </c>
      <c r="I746" s="35">
        <v>21724.006000000001</v>
      </c>
      <c r="J746" s="35">
        <v>71531.558999999994</v>
      </c>
      <c r="K746" s="35">
        <v>90158.187999999995</v>
      </c>
      <c r="L746" s="35">
        <v>3406.68</v>
      </c>
      <c r="M746" s="35">
        <v>163.357</v>
      </c>
      <c r="N746" s="37">
        <f t="shared" si="148"/>
        <v>-404.101</v>
      </c>
      <c r="O746" s="35">
        <v>567.45799999999997</v>
      </c>
      <c r="P746" s="38">
        <v>0</v>
      </c>
      <c r="Q746" s="38">
        <v>0</v>
      </c>
      <c r="R746" s="39">
        <f>SUM(P746:Q746)</f>
        <v>0</v>
      </c>
      <c r="S746" s="38"/>
      <c r="T746" s="40">
        <v>10550</v>
      </c>
    </row>
    <row r="747" spans="2:20" ht="15.6" x14ac:dyDescent="0.3">
      <c r="B747" s="32">
        <f t="shared" si="150"/>
        <v>23</v>
      </c>
      <c r="C747" s="59" t="s">
        <v>1061</v>
      </c>
      <c r="D747" s="33" t="s">
        <v>1062</v>
      </c>
      <c r="E747" s="34">
        <v>45291</v>
      </c>
      <c r="F747" s="35">
        <v>61.225999999999999</v>
      </c>
      <c r="G747" s="36">
        <v>10</v>
      </c>
      <c r="H747" s="37">
        <f t="shared" si="147"/>
        <v>6.1226000000000003</v>
      </c>
      <c r="I747" s="35">
        <v>1224.854</v>
      </c>
      <c r="J747" s="35">
        <v>3146.8130000000001</v>
      </c>
      <c r="K747" s="35">
        <v>5674.3220000000001</v>
      </c>
      <c r="L747" s="35">
        <v>138.78299999999999</v>
      </c>
      <c r="M747" s="35">
        <v>346.78300000000002</v>
      </c>
      <c r="N747" s="37">
        <f t="shared" si="148"/>
        <v>98.811000000000007</v>
      </c>
      <c r="O747" s="35">
        <v>247.97200000000001</v>
      </c>
      <c r="P747" s="38">
        <v>20</v>
      </c>
      <c r="Q747" s="38">
        <v>0</v>
      </c>
      <c r="R747" s="39">
        <f t="shared" si="149"/>
        <v>20</v>
      </c>
      <c r="S747" s="38"/>
      <c r="T747" s="40">
        <v>1130</v>
      </c>
    </row>
    <row r="748" spans="2:20" ht="15.6" x14ac:dyDescent="0.3">
      <c r="B748" s="62"/>
      <c r="C748" s="61"/>
      <c r="D748" s="63"/>
      <c r="E748" s="64"/>
      <c r="F748" s="65"/>
      <c r="G748" s="42"/>
      <c r="H748" s="66"/>
      <c r="I748" s="65"/>
      <c r="J748" s="65"/>
      <c r="K748" s="65"/>
      <c r="L748" s="65"/>
      <c r="M748" s="65"/>
      <c r="N748" s="66"/>
      <c r="O748" s="65"/>
      <c r="P748" s="67"/>
      <c r="Q748" s="67"/>
      <c r="R748" s="68"/>
      <c r="S748" s="67"/>
      <c r="T748" s="69"/>
    </row>
    <row r="749" spans="2:20" ht="18" x14ac:dyDescent="0.35">
      <c r="B749" s="27"/>
      <c r="C749" s="27"/>
      <c r="D749" s="55" t="s">
        <v>43</v>
      </c>
      <c r="E749" s="27"/>
      <c r="F749" s="27"/>
      <c r="G749" s="42"/>
      <c r="H749" s="43"/>
      <c r="I749" s="29"/>
      <c r="J749" s="29"/>
      <c r="K749" s="29"/>
      <c r="L749" s="29"/>
      <c r="M749" s="29"/>
      <c r="N749" s="44"/>
      <c r="O749" s="29"/>
      <c r="P749" s="29"/>
      <c r="Q749" s="29"/>
      <c r="R749" s="44"/>
      <c r="S749" s="29"/>
      <c r="T749" s="29"/>
    </row>
    <row r="750" spans="2:20" ht="15.6" x14ac:dyDescent="0.3">
      <c r="B750" s="32">
        <v>1</v>
      </c>
      <c r="C750" s="59" t="s">
        <v>1063</v>
      </c>
      <c r="D750" s="33" t="s">
        <v>1064</v>
      </c>
      <c r="E750" s="34">
        <v>45107</v>
      </c>
      <c r="F750" s="35"/>
      <c r="G750" s="36">
        <v>10</v>
      </c>
      <c r="H750" s="37">
        <f>+F750/G750</f>
        <v>0</v>
      </c>
      <c r="I750" s="35"/>
      <c r="J750" s="35"/>
      <c r="K750" s="35"/>
      <c r="L750" s="35"/>
      <c r="M750" s="35"/>
      <c r="N750" s="37">
        <f>+M750-O750</f>
        <v>0</v>
      </c>
      <c r="O750" s="35"/>
      <c r="P750" s="38"/>
      <c r="Q750" s="38"/>
      <c r="R750" s="39">
        <f>SUM(P750:Q750)</f>
        <v>0</v>
      </c>
      <c r="S750" s="38"/>
      <c r="T750" s="40"/>
    </row>
    <row r="751" spans="2:20" ht="15.6" x14ac:dyDescent="0.3">
      <c r="B751" s="27"/>
      <c r="C751" s="27"/>
      <c r="D751" s="27"/>
      <c r="E751" s="27"/>
      <c r="F751" s="27"/>
      <c r="G751" s="42"/>
      <c r="H751" s="43"/>
      <c r="I751" s="29"/>
      <c r="J751" s="29"/>
      <c r="K751" s="29"/>
      <c r="L751" s="29"/>
      <c r="M751" s="29"/>
      <c r="N751" s="44"/>
      <c r="O751" s="29"/>
      <c r="P751" s="29"/>
      <c r="Q751" s="29"/>
      <c r="R751" s="44"/>
      <c r="S751" s="29"/>
      <c r="T751" s="29"/>
    </row>
    <row r="752" spans="2:20" ht="15.6" x14ac:dyDescent="0.3">
      <c r="B752" s="46">
        <f>COUNT(B725:B751)</f>
        <v>24</v>
      </c>
      <c r="C752" s="46"/>
      <c r="D752" s="47"/>
      <c r="E752" s="47"/>
      <c r="F752" s="47">
        <f>SUM(F725:F751)</f>
        <v>60529.628770000003</v>
      </c>
      <c r="G752" s="48"/>
      <c r="H752" s="49">
        <f t="shared" ref="H752:O752" si="152">SUM(H725:H751)</f>
        <v>6169.5205019999994</v>
      </c>
      <c r="I752" s="47">
        <f t="shared" si="152"/>
        <v>185532.74196500005</v>
      </c>
      <c r="J752" s="47">
        <f t="shared" si="152"/>
        <v>519549.72527300002</v>
      </c>
      <c r="K752" s="47">
        <f t="shared" si="152"/>
        <v>734442.89246699994</v>
      </c>
      <c r="L752" s="47">
        <f t="shared" si="152"/>
        <v>19645.760327</v>
      </c>
      <c r="M752" s="47">
        <f t="shared" si="152"/>
        <v>69941.157976000002</v>
      </c>
      <c r="N752" s="50">
        <f t="shared" si="152"/>
        <v>22895.567703000004</v>
      </c>
      <c r="O752" s="47">
        <f t="shared" si="152"/>
        <v>47045.590273000002</v>
      </c>
      <c r="P752" s="51"/>
      <c r="Q752" s="51"/>
      <c r="R752" s="52"/>
      <c r="S752" s="51"/>
      <c r="T752" s="53">
        <f>SUM(T725:T751)</f>
        <v>78173</v>
      </c>
    </row>
    <row r="753" spans="2:20" ht="15.6" x14ac:dyDescent="0.3">
      <c r="B753" s="27"/>
      <c r="C753" s="27"/>
      <c r="D753" s="27"/>
      <c r="E753" s="27"/>
      <c r="F753" s="27"/>
      <c r="G753" s="42"/>
      <c r="H753" s="43"/>
      <c r="I753" s="29"/>
      <c r="J753" s="29"/>
      <c r="K753" s="29"/>
      <c r="L753" s="29"/>
      <c r="M753" s="29"/>
      <c r="N753" s="44"/>
      <c r="O753" s="29"/>
      <c r="P753" s="29"/>
      <c r="Q753" s="29"/>
      <c r="R753" s="44"/>
      <c r="S753" s="29"/>
      <c r="T753" s="29"/>
    </row>
    <row r="754" spans="2:20" ht="15.6" x14ac:dyDescent="0.3">
      <c r="B754" s="27"/>
      <c r="C754" s="27"/>
      <c r="D754" s="27"/>
      <c r="E754" s="27"/>
      <c r="F754" s="27"/>
      <c r="G754" s="42"/>
      <c r="H754" s="43"/>
      <c r="I754" s="29"/>
      <c r="J754" s="29"/>
      <c r="K754" s="29"/>
      <c r="L754" s="29"/>
      <c r="M754" s="29"/>
      <c r="N754" s="44"/>
      <c r="O754" s="29"/>
      <c r="P754" s="29"/>
      <c r="Q754" s="29"/>
      <c r="R754" s="44"/>
      <c r="S754" s="29"/>
      <c r="T754" s="29"/>
    </row>
    <row r="755" spans="2:20" ht="18" x14ac:dyDescent="0.35">
      <c r="B755" s="27"/>
      <c r="C755" s="31">
        <v>35</v>
      </c>
      <c r="D755" s="31" t="s">
        <v>1065</v>
      </c>
      <c r="E755" s="60"/>
      <c r="F755" s="60"/>
      <c r="G755" s="42"/>
      <c r="H755" s="43"/>
      <c r="I755" s="29"/>
      <c r="J755" s="29"/>
      <c r="K755" s="29"/>
      <c r="L755" s="29"/>
      <c r="M755" s="29"/>
      <c r="N755" s="44"/>
      <c r="O755" s="29"/>
      <c r="P755" s="29"/>
      <c r="Q755" s="29"/>
      <c r="R755" s="44"/>
      <c r="S755" s="29"/>
      <c r="T755" s="29"/>
    </row>
    <row r="756" spans="2:20" ht="15.6" x14ac:dyDescent="0.3">
      <c r="B756" s="27"/>
      <c r="C756" s="27"/>
      <c r="D756" s="27"/>
      <c r="E756" s="27"/>
      <c r="F756" s="27"/>
      <c r="G756" s="42"/>
      <c r="H756" s="43"/>
      <c r="I756" s="29"/>
      <c r="J756" s="29"/>
      <c r="K756" s="29"/>
      <c r="L756" s="29"/>
      <c r="M756" s="29"/>
      <c r="N756" s="44"/>
      <c r="O756" s="29"/>
      <c r="P756" s="29"/>
      <c r="Q756" s="29"/>
      <c r="R756" s="44"/>
      <c r="S756" s="29"/>
      <c r="T756" s="29"/>
    </row>
    <row r="757" spans="2:20" ht="15.6" x14ac:dyDescent="0.3">
      <c r="B757" s="32">
        <v>1</v>
      </c>
      <c r="C757" s="32" t="s">
        <v>1066</v>
      </c>
      <c r="D757" s="33" t="s">
        <v>1067</v>
      </c>
      <c r="E757" s="34">
        <v>45107</v>
      </c>
      <c r="F757" s="35">
        <f>261.6*G757</f>
        <v>2616</v>
      </c>
      <c r="G757" s="36">
        <v>10</v>
      </c>
      <c r="H757" s="37">
        <f t="shared" ref="H757:H764" si="153">+F757/G757</f>
        <v>261.60000000000002</v>
      </c>
      <c r="I757" s="35">
        <v>859.74699999999996</v>
      </c>
      <c r="J757" s="35">
        <v>2535.732</v>
      </c>
      <c r="K757" s="35">
        <v>186.006</v>
      </c>
      <c r="L757" s="35">
        <v>147.489</v>
      </c>
      <c r="M757" s="35">
        <v>-142.143</v>
      </c>
      <c r="N757" s="37">
        <f t="shared" ref="N757:N764" si="154">+M757-O757</f>
        <v>-7.0879999999999939</v>
      </c>
      <c r="O757" s="35">
        <v>-135.05500000000001</v>
      </c>
      <c r="P757" s="38">
        <v>0</v>
      </c>
      <c r="Q757" s="38">
        <v>0</v>
      </c>
      <c r="R757" s="39">
        <f t="shared" ref="R757:R764" si="155">SUM(P757:Q757)</f>
        <v>0</v>
      </c>
      <c r="S757" s="38"/>
      <c r="T757" s="40">
        <v>3602</v>
      </c>
    </row>
    <row r="758" spans="2:20" ht="15.6" x14ac:dyDescent="0.3">
      <c r="B758" s="32">
        <f>+B757+1</f>
        <v>2</v>
      </c>
      <c r="C758" s="32" t="s">
        <v>1068</v>
      </c>
      <c r="D758" s="33" t="s">
        <v>1069</v>
      </c>
      <c r="E758" s="34">
        <v>45107</v>
      </c>
      <c r="F758" s="35">
        <f>37.873821*G758</f>
        <v>378.73820999999998</v>
      </c>
      <c r="G758" s="36">
        <v>10</v>
      </c>
      <c r="H758" s="37">
        <f t="shared" si="153"/>
        <v>37.873821</v>
      </c>
      <c r="I758" s="35">
        <v>1602.083899</v>
      </c>
      <c r="J758" s="35">
        <v>4355.9246419999999</v>
      </c>
      <c r="K758" s="35">
        <v>4115.4027969999997</v>
      </c>
      <c r="L758" s="35">
        <v>110.946636</v>
      </c>
      <c r="M758" s="35">
        <v>-131.522987</v>
      </c>
      <c r="N758" s="37">
        <f t="shared" si="154"/>
        <v>21.948945000000009</v>
      </c>
      <c r="O758" s="35">
        <v>-153.47193200000001</v>
      </c>
      <c r="P758" s="38">
        <v>0</v>
      </c>
      <c r="Q758" s="38">
        <v>0</v>
      </c>
      <c r="R758" s="39">
        <f t="shared" si="155"/>
        <v>0</v>
      </c>
      <c r="S758" s="38"/>
      <c r="T758" s="40"/>
    </row>
    <row r="759" spans="2:20" ht="15.6" x14ac:dyDescent="0.3">
      <c r="B759" s="32">
        <f t="shared" ref="B759:B764" si="156">+B758+1</f>
        <v>3</v>
      </c>
      <c r="C759" s="32" t="s">
        <v>1070</v>
      </c>
      <c r="D759" s="33" t="s">
        <v>1071</v>
      </c>
      <c r="E759" s="34">
        <v>45107</v>
      </c>
      <c r="F759" s="35">
        <f>240*G759</f>
        <v>2400</v>
      </c>
      <c r="G759" s="36">
        <v>10</v>
      </c>
      <c r="H759" s="37">
        <f>+F759/G759</f>
        <v>240</v>
      </c>
      <c r="I759" s="35">
        <v>2423.6429410000001</v>
      </c>
      <c r="J759" s="35">
        <v>4703.9146620000001</v>
      </c>
      <c r="K759" s="35">
        <v>2070.887334</v>
      </c>
      <c r="L759" s="35">
        <v>266.078013</v>
      </c>
      <c r="M759" s="35">
        <v>132.92400799999999</v>
      </c>
      <c r="N759" s="37">
        <f t="shared" si="154"/>
        <v>31.046342999999993</v>
      </c>
      <c r="O759" s="35">
        <v>101.87766499999999</v>
      </c>
      <c r="P759" s="38">
        <v>0</v>
      </c>
      <c r="Q759" s="38">
        <v>0</v>
      </c>
      <c r="R759" s="39">
        <f>SUM(P759:Q759)</f>
        <v>0</v>
      </c>
      <c r="S759" s="38"/>
      <c r="T759" s="40">
        <v>6927</v>
      </c>
    </row>
    <row r="760" spans="2:20" ht="15.6" x14ac:dyDescent="0.3">
      <c r="B760" s="32">
        <f t="shared" si="156"/>
        <v>4</v>
      </c>
      <c r="C760" s="32" t="s">
        <v>1072</v>
      </c>
      <c r="D760" s="33" t="s">
        <v>1073</v>
      </c>
      <c r="E760" s="34">
        <v>45107</v>
      </c>
      <c r="F760" s="35">
        <f>999.714838*G760</f>
        <v>9997.1483800000005</v>
      </c>
      <c r="G760" s="36">
        <v>10</v>
      </c>
      <c r="H760" s="37">
        <f t="shared" si="153"/>
        <v>999.7148380000001</v>
      </c>
      <c r="I760" s="35">
        <v>28280.556304999998</v>
      </c>
      <c r="J760" s="35">
        <v>43140.64342</v>
      </c>
      <c r="K760" s="35">
        <v>40707.944488000001</v>
      </c>
      <c r="L760" s="35">
        <v>117.41157</v>
      </c>
      <c r="M760" s="35">
        <v>8532.1904159999995</v>
      </c>
      <c r="N760" s="37">
        <f t="shared" si="154"/>
        <v>435.24183499999981</v>
      </c>
      <c r="O760" s="35">
        <v>8096.9485809999996</v>
      </c>
      <c r="P760" s="38">
        <f>10+10</f>
        <v>20</v>
      </c>
      <c r="Q760" s="38">
        <f>19.1</f>
        <v>19.100000000000001</v>
      </c>
      <c r="R760" s="39">
        <f t="shared" si="155"/>
        <v>39.1</v>
      </c>
      <c r="S760" s="38"/>
      <c r="T760" s="40">
        <v>3692</v>
      </c>
    </row>
    <row r="761" spans="2:20" ht="15.6" x14ac:dyDescent="0.3">
      <c r="B761" s="32">
        <f t="shared" si="156"/>
        <v>5</v>
      </c>
      <c r="C761" s="59" t="s">
        <v>1074</v>
      </c>
      <c r="D761" s="33" t="s">
        <v>1075</v>
      </c>
      <c r="E761" s="34">
        <v>45107</v>
      </c>
      <c r="F761" s="35">
        <f>149.942178*G761</f>
        <v>1499.4217800000001</v>
      </c>
      <c r="G761" s="36">
        <v>10</v>
      </c>
      <c r="H761" s="37">
        <f t="shared" si="153"/>
        <v>149.94217800000001</v>
      </c>
      <c r="I761" s="35">
        <v>2446.8348350000001</v>
      </c>
      <c r="J761" s="35">
        <v>4273.9719519999999</v>
      </c>
      <c r="K761" s="35">
        <v>3826.843574</v>
      </c>
      <c r="L761" s="35">
        <v>0</v>
      </c>
      <c r="M761" s="35">
        <v>895.990996</v>
      </c>
      <c r="N761" s="37">
        <f t="shared" si="154"/>
        <v>380.66231300000004</v>
      </c>
      <c r="O761" s="35">
        <v>515.32868299999996</v>
      </c>
      <c r="P761" s="38">
        <f>20</f>
        <v>20</v>
      </c>
      <c r="Q761" s="38">
        <f>93.9</f>
        <v>93.9</v>
      </c>
      <c r="R761" s="39">
        <f t="shared" si="155"/>
        <v>113.9</v>
      </c>
      <c r="S761" s="38"/>
      <c r="T761" s="40">
        <v>3420</v>
      </c>
    </row>
    <row r="762" spans="2:20" ht="15.6" x14ac:dyDescent="0.3">
      <c r="B762" s="32">
        <f t="shared" si="156"/>
        <v>6</v>
      </c>
      <c r="C762" s="32" t="s">
        <v>1076</v>
      </c>
      <c r="D762" s="33" t="s">
        <v>1077</v>
      </c>
      <c r="E762" s="34">
        <v>45107</v>
      </c>
      <c r="F762" s="35">
        <f>14.54906*G762</f>
        <v>145.4906</v>
      </c>
      <c r="G762" s="36">
        <v>10</v>
      </c>
      <c r="H762" s="37">
        <f t="shared" si="153"/>
        <v>14.549060000000001</v>
      </c>
      <c r="I762" s="35">
        <v>1520.6949770000001</v>
      </c>
      <c r="J762" s="35">
        <v>1870.7184480000001</v>
      </c>
      <c r="K762" s="35">
        <v>977.13340900000003</v>
      </c>
      <c r="L762" s="35">
        <v>62.582647999999999</v>
      </c>
      <c r="M762" s="35">
        <v>-484.52445699999998</v>
      </c>
      <c r="N762" s="37">
        <f t="shared" si="154"/>
        <v>-9.5619309999999587</v>
      </c>
      <c r="O762" s="35">
        <v>-474.96252600000003</v>
      </c>
      <c r="P762" s="38">
        <v>0</v>
      </c>
      <c r="Q762" s="38">
        <v>0</v>
      </c>
      <c r="R762" s="39">
        <f t="shared" si="155"/>
        <v>0</v>
      </c>
      <c r="S762" s="38"/>
      <c r="T762" s="40">
        <v>289</v>
      </c>
    </row>
    <row r="763" spans="2:20" ht="15.6" x14ac:dyDescent="0.3">
      <c r="B763" s="32">
        <f t="shared" si="156"/>
        <v>7</v>
      </c>
      <c r="C763" s="32" t="s">
        <v>1078</v>
      </c>
      <c r="D763" s="33" t="s">
        <v>1079</v>
      </c>
      <c r="E763" s="34">
        <v>45107</v>
      </c>
      <c r="F763" s="35">
        <f>239.320475*G763</f>
        <v>1196.6023749999999</v>
      </c>
      <c r="G763" s="36">
        <v>5</v>
      </c>
      <c r="H763" s="37">
        <f t="shared" si="153"/>
        <v>239.32047499999999</v>
      </c>
      <c r="I763" s="35">
        <v>2700.2310000000002</v>
      </c>
      <c r="J763" s="35">
        <v>8852.1779999999999</v>
      </c>
      <c r="K763" s="35">
        <v>14182.478999999999</v>
      </c>
      <c r="L763" s="35">
        <v>193.67400000000001</v>
      </c>
      <c r="M763" s="35">
        <v>304.517</v>
      </c>
      <c r="N763" s="37">
        <f t="shared" si="154"/>
        <v>266.904</v>
      </c>
      <c r="O763" s="35">
        <v>37.613</v>
      </c>
      <c r="P763" s="38">
        <v>0</v>
      </c>
      <c r="Q763" s="38">
        <v>0</v>
      </c>
      <c r="R763" s="39">
        <f t="shared" si="155"/>
        <v>0</v>
      </c>
      <c r="S763" s="38"/>
      <c r="T763" s="40">
        <v>3999</v>
      </c>
    </row>
    <row r="764" spans="2:20" ht="15.6" x14ac:dyDescent="0.3">
      <c r="B764" s="32">
        <f t="shared" si="156"/>
        <v>8</v>
      </c>
      <c r="C764" s="59" t="s">
        <v>1080</v>
      </c>
      <c r="D764" s="33" t="s">
        <v>1081</v>
      </c>
      <c r="E764" s="34">
        <v>45107</v>
      </c>
      <c r="F764" s="35">
        <f>172.167188*G764</f>
        <v>1721.6718800000001</v>
      </c>
      <c r="G764" s="36">
        <v>10</v>
      </c>
      <c r="H764" s="37">
        <f t="shared" si="153"/>
        <v>172.16718800000001</v>
      </c>
      <c r="I764" s="35">
        <v>15331.959487</v>
      </c>
      <c r="J764" s="35">
        <v>22799.662022</v>
      </c>
      <c r="K764" s="35">
        <v>28426.970765999999</v>
      </c>
      <c r="L764" s="35">
        <v>508.15293800000001</v>
      </c>
      <c r="M764" s="35">
        <v>4118.1618749999998</v>
      </c>
      <c r="N764" s="37">
        <f t="shared" si="154"/>
        <v>1599.0307969999999</v>
      </c>
      <c r="O764" s="35">
        <v>2519.1310779999999</v>
      </c>
      <c r="P764" s="38">
        <v>60</v>
      </c>
      <c r="Q764" s="38">
        <v>0</v>
      </c>
      <c r="R764" s="39">
        <f t="shared" si="155"/>
        <v>60</v>
      </c>
      <c r="S764" s="38"/>
      <c r="T764" s="40">
        <v>5132</v>
      </c>
    </row>
    <row r="765" spans="2:20" ht="15.6" x14ac:dyDescent="0.3">
      <c r="B765" s="27"/>
      <c r="C765" s="27"/>
      <c r="D765" s="27"/>
      <c r="E765" s="27"/>
      <c r="F765" s="27"/>
      <c r="G765" s="42"/>
      <c r="H765" s="43"/>
      <c r="I765" s="29"/>
      <c r="J765" s="29"/>
      <c r="K765" s="29"/>
      <c r="L765" s="29"/>
      <c r="M765" s="29"/>
      <c r="N765" s="44"/>
      <c r="O765" s="29"/>
      <c r="P765" s="29"/>
      <c r="Q765" s="29"/>
      <c r="R765" s="44"/>
      <c r="S765" s="29"/>
      <c r="T765" s="29"/>
    </row>
    <row r="766" spans="2:20" ht="18" x14ac:dyDescent="0.35">
      <c r="B766" s="27"/>
      <c r="C766" s="27"/>
      <c r="D766" s="55" t="s">
        <v>43</v>
      </c>
      <c r="E766" s="27"/>
      <c r="F766" s="27"/>
      <c r="G766" s="42"/>
      <c r="H766" s="43"/>
      <c r="I766" s="29"/>
      <c r="J766" s="29"/>
      <c r="K766" s="29"/>
      <c r="L766" s="29"/>
      <c r="M766" s="29"/>
      <c r="N766" s="44"/>
      <c r="O766" s="29"/>
      <c r="P766" s="29"/>
      <c r="Q766" s="29"/>
      <c r="R766" s="44"/>
      <c r="S766" s="29"/>
      <c r="T766" s="29"/>
    </row>
    <row r="767" spans="2:20" ht="15.6" x14ac:dyDescent="0.3">
      <c r="B767" s="59">
        <v>1</v>
      </c>
      <c r="C767" s="59" t="s">
        <v>1082</v>
      </c>
      <c r="D767" s="33" t="s">
        <v>1083</v>
      </c>
      <c r="E767" s="34">
        <v>45107</v>
      </c>
      <c r="F767" s="35"/>
      <c r="G767" s="36">
        <v>10</v>
      </c>
      <c r="H767" s="37">
        <f>+F767/G767</f>
        <v>0</v>
      </c>
      <c r="I767" s="35"/>
      <c r="J767" s="35"/>
      <c r="K767" s="35"/>
      <c r="L767" s="35"/>
      <c r="M767" s="35"/>
      <c r="N767" s="37">
        <f>+M767-O767</f>
        <v>0</v>
      </c>
      <c r="O767" s="35"/>
      <c r="P767" s="38"/>
      <c r="Q767" s="38"/>
      <c r="R767" s="39">
        <f>SUM(P767:Q767)</f>
        <v>0</v>
      </c>
      <c r="S767" s="38"/>
      <c r="T767" s="40"/>
    </row>
    <row r="768" spans="2:20" ht="15.6" x14ac:dyDescent="0.3">
      <c r="B768" s="27"/>
      <c r="C768" s="27"/>
      <c r="D768" s="27"/>
      <c r="E768" s="27"/>
      <c r="F768" s="27"/>
      <c r="G768" s="42"/>
      <c r="H768" s="43"/>
      <c r="I768" s="29"/>
      <c r="J768" s="29"/>
      <c r="K768" s="29"/>
      <c r="L768" s="29"/>
      <c r="M768" s="29"/>
      <c r="N768" s="44"/>
      <c r="O768" s="29"/>
      <c r="P768" s="29"/>
      <c r="Q768" s="29"/>
      <c r="R768" s="44"/>
      <c r="S768" s="29"/>
      <c r="T768" s="29"/>
    </row>
    <row r="769" spans="2:20" ht="15.6" x14ac:dyDescent="0.3">
      <c r="B769" s="46">
        <f>COUNT(B757:B768)</f>
        <v>9</v>
      </c>
      <c r="C769" s="46"/>
      <c r="D769" s="47"/>
      <c r="E769" s="47"/>
      <c r="F769" s="47">
        <f>SUM(F757:F768)</f>
        <v>19955.073225</v>
      </c>
      <c r="G769" s="48"/>
      <c r="H769" s="49">
        <f t="shared" ref="H769:O769" si="157">SUM(H757:H768)</f>
        <v>2115.1675600000003</v>
      </c>
      <c r="I769" s="47">
        <f t="shared" si="157"/>
        <v>55165.750443999998</v>
      </c>
      <c r="J769" s="47">
        <f t="shared" si="157"/>
        <v>92532.745146000001</v>
      </c>
      <c r="K769" s="47">
        <f t="shared" si="157"/>
        <v>94493.667368000009</v>
      </c>
      <c r="L769" s="47">
        <f t="shared" si="157"/>
        <v>1406.334805</v>
      </c>
      <c r="M769" s="47">
        <f t="shared" si="157"/>
        <v>13225.593851</v>
      </c>
      <c r="N769" s="50">
        <f t="shared" si="157"/>
        <v>2718.1843019999997</v>
      </c>
      <c r="O769" s="47">
        <f t="shared" si="157"/>
        <v>10507.409549</v>
      </c>
      <c r="P769" s="51"/>
      <c r="Q769" s="51"/>
      <c r="R769" s="52"/>
      <c r="S769" s="51"/>
      <c r="T769" s="53">
        <f>SUM(T757:T768)</f>
        <v>27061</v>
      </c>
    </row>
    <row r="770" spans="2:20" ht="15.6" x14ac:dyDescent="0.3">
      <c r="B770" s="27"/>
      <c r="C770" s="27"/>
      <c r="D770" s="27"/>
      <c r="E770" s="27"/>
      <c r="F770" s="27"/>
      <c r="G770" s="42"/>
      <c r="H770" s="43"/>
      <c r="I770" s="29"/>
      <c r="J770" s="29"/>
      <c r="K770" s="29"/>
      <c r="L770" s="29"/>
      <c r="M770" s="29"/>
      <c r="N770" s="44"/>
      <c r="O770" s="29"/>
      <c r="P770" s="29"/>
      <c r="Q770" s="29"/>
      <c r="R770" s="44"/>
      <c r="S770" s="29"/>
      <c r="T770" s="29"/>
    </row>
    <row r="771" spans="2:20" ht="15.6" x14ac:dyDescent="0.3">
      <c r="B771" s="27"/>
      <c r="C771" s="27"/>
      <c r="D771" s="27"/>
      <c r="E771" s="27"/>
      <c r="F771" s="27"/>
      <c r="G771" s="42"/>
      <c r="H771" s="43"/>
      <c r="I771" s="29"/>
      <c r="J771" s="29"/>
      <c r="K771" s="29"/>
      <c r="L771" s="29"/>
      <c r="M771" s="29"/>
      <c r="N771" s="44"/>
      <c r="O771" s="29"/>
      <c r="P771" s="29"/>
      <c r="Q771" s="29"/>
      <c r="R771" s="44"/>
      <c r="S771" s="29"/>
      <c r="T771" s="29"/>
    </row>
    <row r="772" spans="2:20" ht="18" x14ac:dyDescent="0.35">
      <c r="B772" s="27"/>
      <c r="C772" s="31">
        <v>36</v>
      </c>
      <c r="D772" s="31" t="s">
        <v>1084</v>
      </c>
      <c r="E772" s="60"/>
      <c r="F772" s="60"/>
      <c r="G772" s="42"/>
      <c r="H772" s="43"/>
      <c r="I772" s="29"/>
      <c r="J772" s="29"/>
      <c r="K772" s="29"/>
      <c r="L772" s="29"/>
      <c r="M772" s="29"/>
      <c r="N772" s="44"/>
      <c r="O772" s="29"/>
      <c r="P772" s="29"/>
      <c r="Q772" s="29"/>
      <c r="R772" s="44"/>
      <c r="S772" s="29"/>
      <c r="T772" s="29"/>
    </row>
    <row r="773" spans="2:20" ht="15.6" x14ac:dyDescent="0.3">
      <c r="B773" s="27"/>
      <c r="C773" s="27"/>
      <c r="D773" s="27"/>
      <c r="E773" s="27"/>
      <c r="F773" s="27"/>
      <c r="G773" s="42"/>
      <c r="H773" s="43"/>
      <c r="I773" s="29"/>
      <c r="J773" s="29"/>
      <c r="K773" s="29"/>
      <c r="L773" s="29"/>
      <c r="M773" s="29"/>
      <c r="N773" s="44"/>
      <c r="O773" s="29"/>
      <c r="P773" s="29"/>
      <c r="Q773" s="29"/>
      <c r="R773" s="44"/>
      <c r="S773" s="29"/>
      <c r="T773" s="29"/>
    </row>
    <row r="774" spans="2:20" ht="15.6" x14ac:dyDescent="0.3">
      <c r="B774" s="59">
        <v>1</v>
      </c>
      <c r="C774" s="59" t="s">
        <v>1085</v>
      </c>
      <c r="D774" s="33" t="s">
        <v>1086</v>
      </c>
      <c r="E774" s="34">
        <v>45107</v>
      </c>
      <c r="F774" s="35">
        <f>2.507273*G774</f>
        <v>25.07273</v>
      </c>
      <c r="G774" s="36">
        <v>10</v>
      </c>
      <c r="H774" s="37">
        <f t="shared" ref="H774:H791" si="158">+F774/G774</f>
        <v>2.5072730000000001</v>
      </c>
      <c r="I774" s="35">
        <v>7.8896439999999997</v>
      </c>
      <c r="J774" s="35">
        <v>16.918744</v>
      </c>
      <c r="K774" s="35">
        <v>1.2</v>
      </c>
      <c r="L774" s="35">
        <v>9.3880000000000005E-3</v>
      </c>
      <c r="M774" s="35">
        <v>-4.7853729999999999</v>
      </c>
      <c r="N774" s="37">
        <f t="shared" ref="N774:N791" si="159">+M774-O774</f>
        <v>0.17645599999999995</v>
      </c>
      <c r="O774" s="35">
        <v>-4.9618289999999998</v>
      </c>
      <c r="P774" s="38">
        <v>0</v>
      </c>
      <c r="Q774" s="38">
        <v>0</v>
      </c>
      <c r="R774" s="39">
        <f t="shared" ref="R774:R791" si="160">SUM(P774:Q774)</f>
        <v>0</v>
      </c>
      <c r="S774" s="38"/>
      <c r="T774" s="40">
        <v>777</v>
      </c>
    </row>
    <row r="775" spans="2:20" ht="15.6" x14ac:dyDescent="0.3">
      <c r="B775" s="59">
        <f>+B774+1</f>
        <v>2</v>
      </c>
      <c r="C775" s="32" t="s">
        <v>1087</v>
      </c>
      <c r="D775" s="33" t="s">
        <v>1088</v>
      </c>
      <c r="E775" s="34">
        <v>45107</v>
      </c>
      <c r="F775" s="35">
        <f>10*G775</f>
        <v>100</v>
      </c>
      <c r="G775" s="36">
        <v>10</v>
      </c>
      <c r="H775" s="37">
        <f t="shared" si="158"/>
        <v>10</v>
      </c>
      <c r="I775" s="35">
        <v>295.543296</v>
      </c>
      <c r="J775" s="35">
        <v>618.72473600000001</v>
      </c>
      <c r="K775" s="35">
        <v>1063.4986469999999</v>
      </c>
      <c r="L775" s="35">
        <v>24.060117999999999</v>
      </c>
      <c r="M775" s="35">
        <v>25.191444000000001</v>
      </c>
      <c r="N775" s="37">
        <f t="shared" si="159"/>
        <v>12.168996</v>
      </c>
      <c r="O775" s="35">
        <v>13.022448000000001</v>
      </c>
      <c r="P775" s="38">
        <v>0</v>
      </c>
      <c r="Q775" s="38">
        <v>0</v>
      </c>
      <c r="R775" s="39">
        <f t="shared" si="160"/>
        <v>0</v>
      </c>
      <c r="S775" s="38"/>
      <c r="T775" s="40">
        <v>329</v>
      </c>
    </row>
    <row r="776" spans="2:20" ht="15.6" x14ac:dyDescent="0.3">
      <c r="B776" s="59">
        <f t="shared" ref="B776:B782" si="161">+B775+1</f>
        <v>3</v>
      </c>
      <c r="C776" s="32" t="s">
        <v>1089</v>
      </c>
      <c r="D776" s="33" t="s">
        <v>1090</v>
      </c>
      <c r="E776" s="34">
        <v>45107</v>
      </c>
      <c r="F776" s="35">
        <f>4*G776</f>
        <v>40</v>
      </c>
      <c r="G776" s="36">
        <v>10</v>
      </c>
      <c r="H776" s="37">
        <f t="shared" si="158"/>
        <v>4</v>
      </c>
      <c r="I776" s="35">
        <v>388.442317</v>
      </c>
      <c r="J776" s="35">
        <v>400.38872300000003</v>
      </c>
      <c r="K776" s="35">
        <v>15.780939</v>
      </c>
      <c r="L776" s="35">
        <v>2.4643000000000002E-2</v>
      </c>
      <c r="M776" s="35">
        <v>-74.828699</v>
      </c>
      <c r="N776" s="37">
        <f t="shared" si="159"/>
        <v>1.4756679999999989</v>
      </c>
      <c r="O776" s="35">
        <v>-76.304366999999999</v>
      </c>
      <c r="P776" s="38">
        <v>0</v>
      </c>
      <c r="Q776" s="38">
        <v>0</v>
      </c>
      <c r="R776" s="39">
        <f t="shared" si="160"/>
        <v>0</v>
      </c>
      <c r="S776" s="38"/>
      <c r="T776" s="40">
        <v>601</v>
      </c>
    </row>
    <row r="777" spans="2:20" ht="15.6" x14ac:dyDescent="0.3">
      <c r="B777" s="59">
        <f t="shared" si="161"/>
        <v>4</v>
      </c>
      <c r="C777" s="59" t="s">
        <v>1091</v>
      </c>
      <c r="D777" s="45" t="s">
        <v>1092</v>
      </c>
      <c r="E777" s="34">
        <v>45107</v>
      </c>
      <c r="F777" s="35">
        <f>9*G777</f>
        <v>90</v>
      </c>
      <c r="G777" s="36">
        <v>10</v>
      </c>
      <c r="H777" s="37">
        <f>+F777/G777</f>
        <v>9</v>
      </c>
      <c r="I777" s="35">
        <v>231.48501200000001</v>
      </c>
      <c r="J777" s="35">
        <v>493.19872800000002</v>
      </c>
      <c r="K777" s="35">
        <v>959.92404399999998</v>
      </c>
      <c r="L777" s="35">
        <v>0.372253</v>
      </c>
      <c r="M777" s="35">
        <v>-27.106741</v>
      </c>
      <c r="N777" s="37">
        <f t="shared" si="159"/>
        <v>16.540880000000001</v>
      </c>
      <c r="O777" s="35">
        <v>-43.647621000000001</v>
      </c>
      <c r="P777" s="38">
        <v>0</v>
      </c>
      <c r="Q777" s="38">
        <v>0</v>
      </c>
      <c r="R777" s="39">
        <f>SUM(P777:Q777)</f>
        <v>0</v>
      </c>
      <c r="S777" s="38"/>
      <c r="T777" s="40">
        <v>281</v>
      </c>
    </row>
    <row r="778" spans="2:20" ht="15.6" x14ac:dyDescent="0.3">
      <c r="B778" s="59">
        <f t="shared" si="161"/>
        <v>5</v>
      </c>
      <c r="C778" s="32" t="s">
        <v>1093</v>
      </c>
      <c r="D778" s="33" t="s">
        <v>1094</v>
      </c>
      <c r="E778" s="34">
        <v>45107</v>
      </c>
      <c r="F778" s="35">
        <f>48.258419*G778</f>
        <v>482.58419000000004</v>
      </c>
      <c r="G778" s="36">
        <v>10</v>
      </c>
      <c r="H778" s="37">
        <f t="shared" si="158"/>
        <v>48.258419000000004</v>
      </c>
      <c r="I778" s="35">
        <v>1175.3209999999999</v>
      </c>
      <c r="J778" s="35">
        <v>2976.2820000000002</v>
      </c>
      <c r="K778" s="35">
        <v>5689.4930000000004</v>
      </c>
      <c r="L778" s="35">
        <v>223.87</v>
      </c>
      <c r="M778" s="35">
        <v>80.995999999999995</v>
      </c>
      <c r="N778" s="37">
        <f t="shared" si="159"/>
        <v>40.852999999999994</v>
      </c>
      <c r="O778" s="35">
        <v>40.143000000000001</v>
      </c>
      <c r="P778" s="38">
        <v>0</v>
      </c>
      <c r="Q778" s="38">
        <v>0</v>
      </c>
      <c r="R778" s="39">
        <f t="shared" si="160"/>
        <v>0</v>
      </c>
      <c r="S778" s="38"/>
      <c r="T778" s="40">
        <v>2228</v>
      </c>
    </row>
    <row r="779" spans="2:20" ht="15.6" x14ac:dyDescent="0.3">
      <c r="B779" s="59">
        <f t="shared" si="161"/>
        <v>6</v>
      </c>
      <c r="C779" s="32" t="s">
        <v>1095</v>
      </c>
      <c r="D779" s="45" t="s">
        <v>1096</v>
      </c>
      <c r="E779" s="34">
        <v>45107</v>
      </c>
      <c r="F779" s="35">
        <f>28.266231*G779</f>
        <v>282.66230999999999</v>
      </c>
      <c r="G779" s="36">
        <v>10</v>
      </c>
      <c r="H779" s="37">
        <f>+F779/G779</f>
        <v>28.266230999999998</v>
      </c>
      <c r="I779" s="35">
        <v>804.35606900000005</v>
      </c>
      <c r="J779" s="35">
        <v>1036.60239</v>
      </c>
      <c r="K779" s="35">
        <v>6.6777059999999997</v>
      </c>
      <c r="L779" s="35">
        <v>9.1772000000000006E-2</v>
      </c>
      <c r="M779" s="35">
        <v>4.1123289999999999</v>
      </c>
      <c r="N779" s="37">
        <f t="shared" si="159"/>
        <v>-3.4350399999999999</v>
      </c>
      <c r="O779" s="35">
        <v>7.5473689999999998</v>
      </c>
      <c r="P779" s="38">
        <v>0</v>
      </c>
      <c r="Q779" s="38">
        <v>0</v>
      </c>
      <c r="R779" s="39">
        <f>SUM(P779:Q779)</f>
        <v>0</v>
      </c>
      <c r="S779" s="38"/>
      <c r="T779" s="40">
        <v>2366</v>
      </c>
    </row>
    <row r="780" spans="2:20" ht="15.6" x14ac:dyDescent="0.3">
      <c r="B780" s="59">
        <f t="shared" si="161"/>
        <v>7</v>
      </c>
      <c r="C780" s="59" t="s">
        <v>1097</v>
      </c>
      <c r="D780" s="33" t="s">
        <v>1098</v>
      </c>
      <c r="E780" s="34">
        <v>45107</v>
      </c>
      <c r="F780" s="35">
        <v>73.493409999999997</v>
      </c>
      <c r="G780" s="36">
        <v>10</v>
      </c>
      <c r="H780" s="37">
        <f t="shared" si="158"/>
        <v>7.3493409999999999</v>
      </c>
      <c r="I780" s="35">
        <v>585.28323499999999</v>
      </c>
      <c r="J780" s="35">
        <v>643.35165700000005</v>
      </c>
      <c r="K780" s="35">
        <v>691.43557799999996</v>
      </c>
      <c r="L780" s="35">
        <v>2.573709</v>
      </c>
      <c r="M780" s="35">
        <v>163.535518</v>
      </c>
      <c r="N780" s="37">
        <f t="shared" si="159"/>
        <v>9.7803559999999834</v>
      </c>
      <c r="O780" s="35">
        <v>153.75516200000001</v>
      </c>
      <c r="P780" s="38">
        <v>25</v>
      </c>
      <c r="Q780" s="38">
        <v>0</v>
      </c>
      <c r="R780" s="39">
        <f t="shared" si="160"/>
        <v>25</v>
      </c>
      <c r="S780" s="38"/>
      <c r="T780" s="40">
        <v>346</v>
      </c>
    </row>
    <row r="781" spans="2:20" ht="15.6" x14ac:dyDescent="0.3">
      <c r="B781" s="59">
        <f t="shared" si="161"/>
        <v>8</v>
      </c>
      <c r="C781" s="32" t="s">
        <v>1099</v>
      </c>
      <c r="D781" s="33" t="s">
        <v>1100</v>
      </c>
      <c r="E781" s="34">
        <v>45107</v>
      </c>
      <c r="F781" s="35">
        <v>593.01149999999996</v>
      </c>
      <c r="G781" s="36">
        <v>10</v>
      </c>
      <c r="H781" s="37">
        <f t="shared" si="158"/>
        <v>59.301149999999993</v>
      </c>
      <c r="I781" s="35">
        <v>1893.253561</v>
      </c>
      <c r="J781" s="35">
        <v>4617.9844149999999</v>
      </c>
      <c r="K781" s="35">
        <v>5505.4625390000001</v>
      </c>
      <c r="L781" s="35">
        <v>133.74226400000001</v>
      </c>
      <c r="M781" s="35">
        <v>700.66518699999995</v>
      </c>
      <c r="N781" s="37">
        <f t="shared" si="159"/>
        <v>321.45167299999997</v>
      </c>
      <c r="O781" s="35">
        <v>379.21351399999998</v>
      </c>
      <c r="P781" s="38">
        <v>15</v>
      </c>
      <c r="Q781" s="38">
        <v>0</v>
      </c>
      <c r="R781" s="39">
        <f t="shared" si="160"/>
        <v>15</v>
      </c>
      <c r="S781" s="38"/>
      <c r="T781" s="40">
        <v>1229</v>
      </c>
    </row>
    <row r="782" spans="2:20" ht="15.6" x14ac:dyDescent="0.3">
      <c r="B782" s="59">
        <f t="shared" si="161"/>
        <v>9</v>
      </c>
      <c r="C782" s="32" t="s">
        <v>1101</v>
      </c>
      <c r="D782" s="45" t="s">
        <v>1102</v>
      </c>
      <c r="E782" s="34">
        <v>45107</v>
      </c>
      <c r="F782" s="35">
        <f>7.432425*G782</f>
        <v>74.324250000000006</v>
      </c>
      <c r="G782" s="36">
        <v>10</v>
      </c>
      <c r="H782" s="37">
        <f>+F782/G782</f>
        <v>7.4324250000000003</v>
      </c>
      <c r="I782" s="35">
        <v>-1.9462470000000001</v>
      </c>
      <c r="J782" s="35">
        <v>0.81762000000000001</v>
      </c>
      <c r="K782" s="35">
        <v>0.50949999999999995</v>
      </c>
      <c r="L782" s="35">
        <v>0</v>
      </c>
      <c r="M782" s="35">
        <f>-60.382932-12.277102</f>
        <v>-72.660033999999996</v>
      </c>
      <c r="N782" s="37">
        <f t="shared" si="159"/>
        <v>2.0826430000000045</v>
      </c>
      <c r="O782" s="35">
        <v>-74.742677</v>
      </c>
      <c r="P782" s="38">
        <v>0</v>
      </c>
      <c r="Q782" s="38">
        <v>0</v>
      </c>
      <c r="R782" s="39">
        <f>SUM(P782:Q782)</f>
        <v>0</v>
      </c>
      <c r="S782" s="91" t="s">
        <v>1103</v>
      </c>
      <c r="T782" s="40">
        <v>987</v>
      </c>
    </row>
    <row r="783" spans="2:20" ht="15.6" x14ac:dyDescent="0.3">
      <c r="B783" s="59">
        <f>+B782+1</f>
        <v>10</v>
      </c>
      <c r="C783" s="32" t="s">
        <v>1104</v>
      </c>
      <c r="D783" s="33" t="s">
        <v>1105</v>
      </c>
      <c r="E783" s="34">
        <v>45291</v>
      </c>
      <c r="F783" s="35">
        <v>3611.0825399999999</v>
      </c>
      <c r="G783" s="36">
        <v>10</v>
      </c>
      <c r="H783" s="37">
        <f t="shared" ref="H783" si="162">+F783/G783</f>
        <v>361.10825399999999</v>
      </c>
      <c r="I783" s="35">
        <v>10635.457061999999</v>
      </c>
      <c r="J783" s="35">
        <v>21457.470829999998</v>
      </c>
      <c r="K783" s="35">
        <v>19735.901646999999</v>
      </c>
      <c r="L783" s="35">
        <v>718.630718</v>
      </c>
      <c r="M783" s="35">
        <v>5303.3576599999997</v>
      </c>
      <c r="N783" s="37">
        <f t="shared" si="159"/>
        <v>285.5217649999995</v>
      </c>
      <c r="O783" s="35">
        <v>5017.8358950000002</v>
      </c>
      <c r="P783" s="38">
        <f>35</f>
        <v>35</v>
      </c>
      <c r="Q783" s="38">
        <v>0</v>
      </c>
      <c r="R783" s="39">
        <f t="shared" ref="R783" si="163">SUM(P783:Q783)</f>
        <v>35</v>
      </c>
      <c r="S783" s="38"/>
      <c r="T783" s="40">
        <v>2911</v>
      </c>
    </row>
    <row r="784" spans="2:20" ht="15.6" x14ac:dyDescent="0.3">
      <c r="B784" s="59">
        <f>+B783+1</f>
        <v>11</v>
      </c>
      <c r="C784" s="59" t="s">
        <v>1106</v>
      </c>
      <c r="D784" s="33" t="s">
        <v>1107</v>
      </c>
      <c r="E784" s="34">
        <v>45107</v>
      </c>
      <c r="F784" s="35">
        <v>180</v>
      </c>
      <c r="G784" s="36">
        <v>10</v>
      </c>
      <c r="H784" s="37">
        <f t="shared" si="158"/>
        <v>18</v>
      </c>
      <c r="I784" s="35">
        <v>9765.4850000000006</v>
      </c>
      <c r="J784" s="35">
        <v>10161.984</v>
      </c>
      <c r="K784" s="35">
        <v>559.04200000000003</v>
      </c>
      <c r="L784" s="35">
        <v>0</v>
      </c>
      <c r="M784" s="35">
        <v>58.807000000000002</v>
      </c>
      <c r="N784" s="37">
        <f t="shared" si="159"/>
        <v>14.678000000000004</v>
      </c>
      <c r="O784" s="35">
        <v>44.128999999999998</v>
      </c>
      <c r="P784" s="38">
        <f>10+10</f>
        <v>20</v>
      </c>
      <c r="Q784" s="38">
        <v>0</v>
      </c>
      <c r="R784" s="39">
        <f t="shared" si="160"/>
        <v>20</v>
      </c>
      <c r="S784" s="38"/>
      <c r="T784" s="40">
        <v>507</v>
      </c>
    </row>
    <row r="785" spans="2:20" ht="15.6" x14ac:dyDescent="0.3">
      <c r="B785" s="59">
        <f t="shared" ref="B785:B791" si="164">+B784+1</f>
        <v>12</v>
      </c>
      <c r="C785" s="59" t="s">
        <v>1108</v>
      </c>
      <c r="D785" s="33" t="s">
        <v>1109</v>
      </c>
      <c r="E785" s="34">
        <v>45107</v>
      </c>
      <c r="F785" s="35">
        <v>325.24200000000002</v>
      </c>
      <c r="G785" s="36">
        <v>10</v>
      </c>
      <c r="H785" s="37">
        <f t="shared" si="158"/>
        <v>32.5242</v>
      </c>
      <c r="I785" s="35">
        <v>44939.245999999999</v>
      </c>
      <c r="J785" s="35">
        <v>64741.642999999996</v>
      </c>
      <c r="K785" s="35">
        <v>13262.037</v>
      </c>
      <c r="L785" s="35">
        <v>1924.6769999999999</v>
      </c>
      <c r="M785" s="35">
        <v>67.774000000000001</v>
      </c>
      <c r="N785" s="37">
        <f t="shared" si="159"/>
        <v>286.05</v>
      </c>
      <c r="O785" s="35">
        <v>-218.27600000000001</v>
      </c>
      <c r="P785" s="38">
        <v>0</v>
      </c>
      <c r="Q785" s="38">
        <v>0</v>
      </c>
      <c r="R785" s="39">
        <f t="shared" si="160"/>
        <v>0</v>
      </c>
      <c r="S785" s="38"/>
      <c r="T785" s="40"/>
    </row>
    <row r="786" spans="2:20" ht="15.6" x14ac:dyDescent="0.3">
      <c r="B786" s="59">
        <f t="shared" si="164"/>
        <v>13</v>
      </c>
      <c r="C786" s="32" t="s">
        <v>1110</v>
      </c>
      <c r="D786" s="33" t="s">
        <v>1111</v>
      </c>
      <c r="E786" s="34">
        <v>45107</v>
      </c>
      <c r="F786" s="35">
        <f>63.214383*G786</f>
        <v>632.14382999999998</v>
      </c>
      <c r="G786" s="36">
        <v>10</v>
      </c>
      <c r="H786" s="37">
        <f t="shared" si="158"/>
        <v>63.214382999999998</v>
      </c>
      <c r="I786" s="35">
        <v>10819.61</v>
      </c>
      <c r="J786" s="35">
        <v>18462.793000000001</v>
      </c>
      <c r="K786" s="35">
        <v>19721.424999999999</v>
      </c>
      <c r="L786" s="35">
        <v>462.63</v>
      </c>
      <c r="M786" s="35">
        <v>1946.201</v>
      </c>
      <c r="N786" s="37">
        <f t="shared" si="159"/>
        <v>764.79500000000007</v>
      </c>
      <c r="O786" s="35">
        <v>1181.4059999999999</v>
      </c>
      <c r="P786" s="38">
        <v>15</v>
      </c>
      <c r="Q786" s="38">
        <v>0</v>
      </c>
      <c r="R786" s="39">
        <f t="shared" si="160"/>
        <v>15</v>
      </c>
      <c r="S786" s="38"/>
      <c r="T786" s="40">
        <v>2422</v>
      </c>
    </row>
    <row r="787" spans="2:20" ht="15.6" x14ac:dyDescent="0.3">
      <c r="B787" s="59">
        <f t="shared" si="164"/>
        <v>14</v>
      </c>
      <c r="C787" s="32" t="s">
        <v>1112</v>
      </c>
      <c r="D787" s="33" t="s">
        <v>1113</v>
      </c>
      <c r="E787" s="34">
        <v>45107</v>
      </c>
      <c r="F787" s="35">
        <v>998.68007999999998</v>
      </c>
      <c r="G787" s="36">
        <v>5</v>
      </c>
      <c r="H787" s="37">
        <f t="shared" si="158"/>
        <v>199.73601600000001</v>
      </c>
      <c r="I787" s="35">
        <v>4635.8389120000002</v>
      </c>
      <c r="J787" s="35">
        <v>6848.6660650000003</v>
      </c>
      <c r="K787" s="35">
        <v>6430.9654440000004</v>
      </c>
      <c r="L787" s="35">
        <v>135.48074299999999</v>
      </c>
      <c r="M787" s="35">
        <v>859.59408299999996</v>
      </c>
      <c r="N787" s="37">
        <f t="shared" si="159"/>
        <v>368.49654299999997</v>
      </c>
      <c r="O787" s="35">
        <v>491.09753999999998</v>
      </c>
      <c r="P787" s="38">
        <f>5+10</f>
        <v>15</v>
      </c>
      <c r="Q787" s="38">
        <v>0</v>
      </c>
      <c r="R787" s="39">
        <f t="shared" si="160"/>
        <v>15</v>
      </c>
      <c r="S787" s="38"/>
      <c r="T787" s="40">
        <v>2341</v>
      </c>
    </row>
    <row r="788" spans="2:20" ht="15.6" x14ac:dyDescent="0.3">
      <c r="B788" s="59">
        <f t="shared" si="164"/>
        <v>15</v>
      </c>
      <c r="C788" s="32" t="s">
        <v>1114</v>
      </c>
      <c r="D788" s="33" t="s">
        <v>1115</v>
      </c>
      <c r="E788" s="34">
        <v>45107</v>
      </c>
      <c r="F788" s="35">
        <f>229.278733*G788</f>
        <v>2292.7873300000001</v>
      </c>
      <c r="G788" s="36">
        <v>10</v>
      </c>
      <c r="H788" s="37">
        <f t="shared" si="158"/>
        <v>229.27873300000002</v>
      </c>
      <c r="I788" s="35">
        <v>3221.0766760000001</v>
      </c>
      <c r="J788" s="35">
        <v>6106.3883539999997</v>
      </c>
      <c r="K788" s="35">
        <v>4393.7669679999999</v>
      </c>
      <c r="L788" s="35">
        <v>215.21704</v>
      </c>
      <c r="M788" s="35">
        <v>50.947909000000003</v>
      </c>
      <c r="N788" s="37">
        <f t="shared" si="159"/>
        <v>47.864849</v>
      </c>
      <c r="O788" s="35">
        <v>3.0830600000000001</v>
      </c>
      <c r="P788" s="38">
        <v>0</v>
      </c>
      <c r="Q788" s="38">
        <v>0</v>
      </c>
      <c r="R788" s="39">
        <f t="shared" si="160"/>
        <v>0</v>
      </c>
      <c r="S788" s="38"/>
      <c r="T788" s="40">
        <v>5526</v>
      </c>
    </row>
    <row r="789" spans="2:20" ht="15.6" x14ac:dyDescent="0.3">
      <c r="B789" s="59">
        <f t="shared" si="164"/>
        <v>16</v>
      </c>
      <c r="C789" s="32" t="s">
        <v>1116</v>
      </c>
      <c r="D789" s="33" t="s">
        <v>1117</v>
      </c>
      <c r="E789" s="34">
        <v>45291</v>
      </c>
      <c r="F789" s="35">
        <v>388</v>
      </c>
      <c r="G789" s="36">
        <v>10</v>
      </c>
      <c r="H789" s="37">
        <f t="shared" si="158"/>
        <v>38.799999999999997</v>
      </c>
      <c r="I789" s="35">
        <v>5825.7929999999997</v>
      </c>
      <c r="J789" s="35">
        <v>28270.253000000001</v>
      </c>
      <c r="K789" s="35">
        <v>24842.373</v>
      </c>
      <c r="L789" s="35">
        <v>909.54100000000005</v>
      </c>
      <c r="M789" s="35">
        <v>1708.287</v>
      </c>
      <c r="N789" s="37">
        <f t="shared" si="159"/>
        <v>729.16899999999998</v>
      </c>
      <c r="O789" s="35">
        <v>979.11800000000005</v>
      </c>
      <c r="P789" s="38">
        <v>60</v>
      </c>
      <c r="Q789" s="38">
        <v>0</v>
      </c>
      <c r="R789" s="39">
        <f t="shared" si="160"/>
        <v>60</v>
      </c>
      <c r="S789" s="38"/>
      <c r="T789" s="40">
        <v>1617</v>
      </c>
    </row>
    <row r="790" spans="2:20" ht="15.6" x14ac:dyDescent="0.3">
      <c r="B790" s="59">
        <f t="shared" si="164"/>
        <v>17</v>
      </c>
      <c r="C790" s="59" t="s">
        <v>1118</v>
      </c>
      <c r="D790" s="33" t="s">
        <v>1119</v>
      </c>
      <c r="E790" s="34">
        <v>45107</v>
      </c>
      <c r="F790" s="35">
        <f>91.8*G790</f>
        <v>918</v>
      </c>
      <c r="G790" s="36">
        <v>10</v>
      </c>
      <c r="H790" s="37">
        <f t="shared" si="158"/>
        <v>91.8</v>
      </c>
      <c r="I790" s="35">
        <v>-108.84399999999999</v>
      </c>
      <c r="J790" s="35">
        <v>853.43700000000001</v>
      </c>
      <c r="K790" s="35">
        <v>1348.03</v>
      </c>
      <c r="L790" s="35">
        <v>53.357999999999997</v>
      </c>
      <c r="M790" s="35">
        <v>-93.293999999999997</v>
      </c>
      <c r="N790" s="37">
        <f t="shared" si="159"/>
        <v>4.9860000000000042</v>
      </c>
      <c r="O790" s="35">
        <v>-98.28</v>
      </c>
      <c r="P790" s="38">
        <v>0</v>
      </c>
      <c r="Q790" s="38">
        <v>0</v>
      </c>
      <c r="R790" s="39">
        <f t="shared" si="160"/>
        <v>0</v>
      </c>
      <c r="S790" s="38"/>
      <c r="T790" s="40">
        <v>1029</v>
      </c>
    </row>
    <row r="791" spans="2:20" ht="15.6" x14ac:dyDescent="0.3">
      <c r="B791" s="59">
        <f t="shared" si="164"/>
        <v>18</v>
      </c>
      <c r="C791" s="59" t="s">
        <v>1120</v>
      </c>
      <c r="D791" s="33" t="s">
        <v>1121</v>
      </c>
      <c r="E791" s="34">
        <v>45107</v>
      </c>
      <c r="F791" s="35">
        <v>352.71300000000002</v>
      </c>
      <c r="G791" s="36">
        <v>10</v>
      </c>
      <c r="H791" s="37">
        <f t="shared" si="158"/>
        <v>35.271300000000004</v>
      </c>
      <c r="I791" s="35">
        <v>683.04100000000005</v>
      </c>
      <c r="J791" s="35">
        <v>1252.913</v>
      </c>
      <c r="K791" s="35">
        <v>785.45100000000002</v>
      </c>
      <c r="L791" s="35">
        <v>32.478000000000002</v>
      </c>
      <c r="M791" s="35">
        <v>-259.74099999999999</v>
      </c>
      <c r="N791" s="37">
        <f t="shared" si="159"/>
        <v>112.791</v>
      </c>
      <c r="O791" s="35">
        <v>-372.53199999999998</v>
      </c>
      <c r="P791" s="38">
        <v>0</v>
      </c>
      <c r="Q791" s="38">
        <v>0</v>
      </c>
      <c r="R791" s="39">
        <f t="shared" si="160"/>
        <v>0</v>
      </c>
      <c r="S791" s="38"/>
      <c r="T791" s="40">
        <v>1155</v>
      </c>
    </row>
    <row r="792" spans="2:20" ht="15.6" x14ac:dyDescent="0.3">
      <c r="B792" s="27"/>
      <c r="C792" s="27"/>
      <c r="D792" s="27"/>
      <c r="E792" s="27"/>
      <c r="F792" s="27"/>
      <c r="G792" s="42"/>
      <c r="H792" s="43"/>
      <c r="I792" s="29"/>
      <c r="J792" s="29"/>
      <c r="K792" s="29"/>
      <c r="L792" s="29"/>
      <c r="M792" s="29"/>
      <c r="N792" s="44"/>
      <c r="O792" s="29"/>
      <c r="P792" s="29"/>
      <c r="Q792" s="29"/>
      <c r="R792" s="44"/>
      <c r="S792" s="29"/>
      <c r="T792" s="29"/>
    </row>
    <row r="793" spans="2:20" ht="18" x14ac:dyDescent="0.35">
      <c r="B793" s="27"/>
      <c r="C793" s="27"/>
      <c r="D793" s="55" t="s">
        <v>43</v>
      </c>
      <c r="E793" s="27"/>
      <c r="F793" s="27"/>
      <c r="G793" s="42"/>
      <c r="H793" s="43"/>
      <c r="I793" s="29"/>
      <c r="J793" s="29"/>
      <c r="K793" s="29"/>
      <c r="L793" s="29"/>
      <c r="M793" s="29"/>
      <c r="N793" s="44"/>
      <c r="O793" s="29"/>
      <c r="P793" s="29"/>
      <c r="Q793" s="29"/>
      <c r="R793" s="44"/>
      <c r="S793" s="29"/>
      <c r="T793" s="29"/>
    </row>
    <row r="794" spans="2:20" ht="15.6" x14ac:dyDescent="0.3">
      <c r="B794" s="59">
        <v>1</v>
      </c>
      <c r="C794" s="32" t="s">
        <v>1122</v>
      </c>
      <c r="D794" s="33" t="s">
        <v>1123</v>
      </c>
      <c r="E794" s="34">
        <v>45107</v>
      </c>
      <c r="F794" s="35"/>
      <c r="G794" s="36">
        <v>10</v>
      </c>
      <c r="H794" s="37">
        <f t="shared" ref="H794:H796" si="165">+F794/G794</f>
        <v>0</v>
      </c>
      <c r="I794" s="35"/>
      <c r="J794" s="35"/>
      <c r="K794" s="35"/>
      <c r="L794" s="35"/>
      <c r="M794" s="35"/>
      <c r="N794" s="37">
        <f>+M794-O794</f>
        <v>0</v>
      </c>
      <c r="O794" s="35"/>
      <c r="P794" s="38"/>
      <c r="Q794" s="38"/>
      <c r="R794" s="39">
        <f t="shared" ref="R794:R796" si="166">SUM(P794:Q794)</f>
        <v>0</v>
      </c>
      <c r="S794" s="38"/>
      <c r="T794" s="40"/>
    </row>
    <row r="795" spans="2:20" ht="15.6" x14ac:dyDescent="0.3">
      <c r="B795" s="59">
        <f>+B794+1</f>
        <v>2</v>
      </c>
      <c r="C795" s="32" t="s">
        <v>1124</v>
      </c>
      <c r="D795" s="33" t="s">
        <v>1125</v>
      </c>
      <c r="E795" s="34">
        <v>45107</v>
      </c>
      <c r="F795" s="35"/>
      <c r="G795" s="36">
        <v>5</v>
      </c>
      <c r="H795" s="37">
        <f t="shared" si="165"/>
        <v>0</v>
      </c>
      <c r="I795" s="35"/>
      <c r="J795" s="35"/>
      <c r="K795" s="35"/>
      <c r="L795" s="35"/>
      <c r="M795" s="35"/>
      <c r="N795" s="37">
        <f>+M795-O795</f>
        <v>0</v>
      </c>
      <c r="O795" s="35"/>
      <c r="P795" s="38"/>
      <c r="Q795" s="38"/>
      <c r="R795" s="39">
        <f t="shared" si="166"/>
        <v>0</v>
      </c>
      <c r="S795" s="38"/>
      <c r="T795" s="40"/>
    </row>
    <row r="796" spans="2:20" ht="15.6" x14ac:dyDescent="0.3">
      <c r="B796" s="59">
        <f t="shared" ref="B796" si="167">+B795+1</f>
        <v>3</v>
      </c>
      <c r="C796" s="59" t="s">
        <v>1126</v>
      </c>
      <c r="D796" s="33" t="s">
        <v>1127</v>
      </c>
      <c r="E796" s="34">
        <v>45107</v>
      </c>
      <c r="F796" s="35">
        <f>28.748133*G796</f>
        <v>287.48133000000001</v>
      </c>
      <c r="G796" s="36">
        <v>10</v>
      </c>
      <c r="H796" s="37">
        <f t="shared" si="165"/>
        <v>28.748133000000003</v>
      </c>
      <c r="I796" s="35">
        <v>-53.326408000000001</v>
      </c>
      <c r="J796" s="35">
        <f>88.746957+287.401258</f>
        <v>376.14821499999999</v>
      </c>
      <c r="K796" s="35">
        <v>619.81147499999997</v>
      </c>
      <c r="L796" s="35">
        <v>14.736618999999999</v>
      </c>
      <c r="M796" s="35">
        <v>49.035144000000003</v>
      </c>
      <c r="N796" s="37">
        <f>+M796-O796</f>
        <v>8.3359740000000002</v>
      </c>
      <c r="O796" s="35">
        <v>40.699170000000002</v>
      </c>
      <c r="P796" s="38">
        <v>0</v>
      </c>
      <c r="Q796" s="38">
        <v>0</v>
      </c>
      <c r="R796" s="39">
        <f t="shared" si="166"/>
        <v>0</v>
      </c>
      <c r="S796" s="38"/>
      <c r="T796" s="40">
        <v>2661</v>
      </c>
    </row>
    <row r="797" spans="2:20" ht="15.6" x14ac:dyDescent="0.3">
      <c r="B797" s="27"/>
      <c r="C797" s="27"/>
      <c r="D797" s="27"/>
      <c r="E797" s="27"/>
      <c r="F797" s="27"/>
      <c r="G797" s="42"/>
      <c r="H797" s="43"/>
      <c r="I797" s="29"/>
      <c r="J797" s="29"/>
      <c r="K797" s="29"/>
      <c r="L797" s="29"/>
      <c r="M797" s="29"/>
      <c r="N797" s="44"/>
      <c r="O797" s="29"/>
      <c r="P797" s="29"/>
      <c r="Q797" s="29"/>
      <c r="R797" s="44"/>
      <c r="S797" s="29"/>
      <c r="T797" s="29"/>
    </row>
    <row r="798" spans="2:20" ht="15.6" x14ac:dyDescent="0.3">
      <c r="B798" s="46">
        <f>COUNT(B774:B797)</f>
        <v>21</v>
      </c>
      <c r="C798" s="46"/>
      <c r="D798" s="47"/>
      <c r="E798" s="47"/>
      <c r="F798" s="47">
        <f>SUM(F774:F797)</f>
        <v>11747.2785</v>
      </c>
      <c r="G798" s="48"/>
      <c r="H798" s="49">
        <f t="shared" ref="H798:O798" si="168">SUM(H774:H797)</f>
        <v>1274.5958580000001</v>
      </c>
      <c r="I798" s="47">
        <f t="shared" si="168"/>
        <v>95743.005129000012</v>
      </c>
      <c r="J798" s="47">
        <f t="shared" si="168"/>
        <v>169335.96547699999</v>
      </c>
      <c r="K798" s="47">
        <f t="shared" si="168"/>
        <v>105632.78548699999</v>
      </c>
      <c r="L798" s="47">
        <f t="shared" si="168"/>
        <v>4851.4932670000007</v>
      </c>
      <c r="M798" s="47">
        <f t="shared" si="168"/>
        <v>10486.088426999999</v>
      </c>
      <c r="N798" s="50">
        <f t="shared" si="168"/>
        <v>3023.7827629999997</v>
      </c>
      <c r="O798" s="47">
        <f t="shared" si="168"/>
        <v>7462.3056640000004</v>
      </c>
      <c r="P798" s="51"/>
      <c r="Q798" s="51"/>
      <c r="R798" s="52"/>
      <c r="S798" s="51"/>
      <c r="T798" s="53">
        <f>SUM(T774:T797)</f>
        <v>29313</v>
      </c>
    </row>
    <row r="799" spans="2:20" ht="15.6" x14ac:dyDescent="0.3">
      <c r="B799" s="27"/>
      <c r="C799" s="27"/>
      <c r="D799" s="27"/>
      <c r="E799" s="27"/>
      <c r="F799" s="27"/>
      <c r="G799" s="27"/>
      <c r="H799" s="28"/>
      <c r="I799" s="29"/>
      <c r="J799" s="29"/>
      <c r="K799" s="29"/>
      <c r="L799" s="29"/>
      <c r="M799" s="29"/>
      <c r="N799" s="30"/>
      <c r="O799" s="29"/>
      <c r="P799" s="29"/>
      <c r="Q799" s="29"/>
      <c r="R799" s="30"/>
      <c r="S799" s="29"/>
      <c r="T799" s="29"/>
    </row>
    <row r="801" spans="2:20" ht="18" x14ac:dyDescent="0.35">
      <c r="B801" s="27"/>
      <c r="C801" s="31">
        <v>36</v>
      </c>
      <c r="D801" s="31" t="s">
        <v>1128</v>
      </c>
      <c r="E801" s="60"/>
      <c r="F801" s="60"/>
      <c r="G801" s="42"/>
      <c r="H801" s="43"/>
      <c r="I801" s="29"/>
      <c r="J801" s="29"/>
      <c r="K801" s="29"/>
      <c r="L801" s="29"/>
      <c r="M801" s="29"/>
      <c r="N801" s="44"/>
      <c r="O801" s="29"/>
      <c r="P801" s="29"/>
      <c r="Q801" s="29"/>
      <c r="R801" s="44"/>
      <c r="S801" s="29"/>
      <c r="T801" s="29"/>
    </row>
    <row r="802" spans="2:20" ht="15.6" x14ac:dyDescent="0.3">
      <c r="B802" s="27"/>
      <c r="C802" s="27"/>
      <c r="D802" s="27"/>
      <c r="E802" s="27"/>
      <c r="F802" s="27"/>
      <c r="G802" s="42"/>
      <c r="H802" s="43"/>
      <c r="I802" s="29"/>
      <c r="J802" s="29"/>
      <c r="K802" s="29"/>
      <c r="L802" s="29"/>
      <c r="M802" s="29"/>
      <c r="N802" s="44"/>
      <c r="O802" s="29"/>
      <c r="P802" s="29"/>
      <c r="Q802" s="29"/>
      <c r="R802" s="44"/>
      <c r="S802" s="29"/>
      <c r="T802" s="29"/>
    </row>
    <row r="803" spans="2:20" ht="15.6" x14ac:dyDescent="0.3">
      <c r="B803" s="59">
        <v>1</v>
      </c>
      <c r="C803" s="59" t="s">
        <v>1129</v>
      </c>
      <c r="D803" s="33" t="s">
        <v>1130</v>
      </c>
      <c r="E803" s="34">
        <v>45107</v>
      </c>
      <c r="F803" s="35">
        <f>27.42843*G803</f>
        <v>274.28429999999997</v>
      </c>
      <c r="G803" s="36">
        <v>10</v>
      </c>
      <c r="H803" s="37">
        <f t="shared" ref="H803:H805" si="169">+F803/G803</f>
        <v>27.428429999999999</v>
      </c>
      <c r="I803" s="35">
        <v>861.25566000000003</v>
      </c>
      <c r="J803" s="35">
        <v>1069.4417370000001</v>
      </c>
      <c r="K803" s="35">
        <v>1353.3577339999999</v>
      </c>
      <c r="L803" s="35">
        <v>5.3062620000000003</v>
      </c>
      <c r="M803" s="35">
        <v>94.890091999999996</v>
      </c>
      <c r="N803" s="37">
        <f>+M803-O803</f>
        <v>19.436830999999998</v>
      </c>
      <c r="O803" s="35">
        <v>75.453260999999998</v>
      </c>
      <c r="P803" s="38">
        <v>0</v>
      </c>
      <c r="Q803" s="38">
        <v>0</v>
      </c>
      <c r="R803" s="39">
        <f t="shared" ref="R803:R805" si="170">SUM(P803:Q803)</f>
        <v>0</v>
      </c>
      <c r="S803" s="38"/>
      <c r="T803" s="40">
        <v>358</v>
      </c>
    </row>
    <row r="804" spans="2:20" ht="15.6" x14ac:dyDescent="0.3">
      <c r="B804" s="59">
        <f>+B803+1</f>
        <v>2</v>
      </c>
      <c r="C804" s="59" t="s">
        <v>1131</v>
      </c>
      <c r="D804" s="33" t="s">
        <v>1132</v>
      </c>
      <c r="E804" s="34">
        <v>45107</v>
      </c>
      <c r="F804" s="35">
        <f>20*G804</f>
        <v>200</v>
      </c>
      <c r="G804" s="36">
        <v>10</v>
      </c>
      <c r="H804" s="37">
        <f t="shared" si="169"/>
        <v>20</v>
      </c>
      <c r="I804" s="35">
        <v>372.43062700000002</v>
      </c>
      <c r="J804" s="35">
        <v>520.03559700000005</v>
      </c>
      <c r="K804" s="35">
        <v>589.11903800000005</v>
      </c>
      <c r="L804" s="35">
        <v>17.346852999999999</v>
      </c>
      <c r="M804" s="35">
        <v>38.173712999999999</v>
      </c>
      <c r="N804" s="37">
        <f>+M804-O804</f>
        <v>18.679299</v>
      </c>
      <c r="O804" s="35">
        <v>19.494413999999999</v>
      </c>
      <c r="P804" s="38">
        <v>0</v>
      </c>
      <c r="Q804" s="38">
        <v>0</v>
      </c>
      <c r="R804" s="39">
        <f t="shared" si="170"/>
        <v>0</v>
      </c>
      <c r="S804" s="38"/>
      <c r="T804" s="40">
        <v>103</v>
      </c>
    </row>
    <row r="805" spans="2:20" ht="15.6" x14ac:dyDescent="0.3">
      <c r="B805" s="59">
        <f>+B804+1</f>
        <v>3</v>
      </c>
      <c r="C805" s="32" t="s">
        <v>1133</v>
      </c>
      <c r="D805" s="33" t="s">
        <v>1134</v>
      </c>
      <c r="E805" s="34">
        <v>45107</v>
      </c>
      <c r="F805" s="35">
        <f>123.444455*G805</f>
        <v>1234.4445500000002</v>
      </c>
      <c r="G805" s="36">
        <v>10</v>
      </c>
      <c r="H805" s="37">
        <f t="shared" si="169"/>
        <v>123.44445500000002</v>
      </c>
      <c r="I805" s="35">
        <v>1612.6679999999999</v>
      </c>
      <c r="J805" s="35">
        <v>3262.4250000000002</v>
      </c>
      <c r="K805" s="35">
        <v>3427.9229999999998</v>
      </c>
      <c r="L805" s="35">
        <v>34.774999999999999</v>
      </c>
      <c r="M805" s="35">
        <v>133.09</v>
      </c>
      <c r="N805" s="37">
        <f>+M805-O805</f>
        <v>82.287000000000006</v>
      </c>
      <c r="O805" s="35">
        <v>50.802999999999997</v>
      </c>
      <c r="P805" s="38">
        <v>0</v>
      </c>
      <c r="Q805" s="38">
        <v>10</v>
      </c>
      <c r="R805" s="39">
        <f t="shared" si="170"/>
        <v>10</v>
      </c>
      <c r="S805" s="38"/>
      <c r="T805" s="40">
        <v>117</v>
      </c>
    </row>
    <row r="807" spans="2:20" ht="15.6" x14ac:dyDescent="0.3">
      <c r="B807" s="46">
        <f>COUNT(B803:B806)</f>
        <v>3</v>
      </c>
      <c r="C807" s="46"/>
      <c r="D807" s="47"/>
      <c r="E807" s="47"/>
      <c r="F807" s="47">
        <f>SUM(F803:F806)</f>
        <v>1708.7288500000002</v>
      </c>
      <c r="G807" s="48"/>
      <c r="H807" s="49">
        <f>SUM(H803:H806)</f>
        <v>170.87288500000003</v>
      </c>
      <c r="I807" s="47">
        <f>SUM(H807)</f>
        <v>170.87288500000003</v>
      </c>
      <c r="J807" s="47">
        <f>SUM(I807)</f>
        <v>170.87288500000003</v>
      </c>
      <c r="K807" s="47">
        <f t="shared" ref="K807:M807" si="171">SUM(J807)</f>
        <v>170.87288500000003</v>
      </c>
      <c r="L807" s="47">
        <f>SUM(K807)</f>
        <v>170.87288500000003</v>
      </c>
      <c r="M807" s="47">
        <f t="shared" si="171"/>
        <v>170.87288500000003</v>
      </c>
      <c r="N807" s="50">
        <f>SUM(N803:N806)</f>
        <v>120.40313</v>
      </c>
      <c r="O807" s="47">
        <f>SUM(O803:O806)</f>
        <v>145.750675</v>
      </c>
      <c r="P807" s="51"/>
      <c r="Q807" s="51"/>
      <c r="R807" s="52"/>
      <c r="S807" s="51"/>
      <c r="T807" s="53">
        <f>SUM(T803:T806)</f>
        <v>578</v>
      </c>
    </row>
  </sheetData>
  <mergeCells count="2">
    <mergeCell ref="D1:F1"/>
    <mergeCell ref="D68:F68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2024-04-29T12:14:55Z</dcterms:created>
  <dcterms:modified xsi:type="dcterms:W3CDTF">2024-04-29T12:16:07Z</dcterms:modified>
</cp:coreProperties>
</file>